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workbookProtection workbookPassword="F660" lockStructure="1"/>
  <bookViews>
    <workbookView xWindow="9555" yWindow="-15" windowWidth="9600" windowHeight="10545" tabRatio="651"/>
  </bookViews>
  <sheets>
    <sheet name="Форма_2п" sheetId="1" r:id="rId1"/>
    <sheet name="Форма_3п" sheetId="4" state="hidden" r:id="rId2"/>
    <sheet name="пер2 СНГ" sheetId="5" state="hidden" r:id="rId3"/>
    <sheet name="Пер2СНГБеларусь" sheetId="6" state="hidden" r:id="rId4"/>
    <sheet name="пер2 вне СНГ" sheetId="7" state="hidden" r:id="rId5"/>
    <sheet name="Errors" sheetId="8" r:id="rId6"/>
    <sheet name="Шаблон" sheetId="11" state="hidden" r:id="rId7"/>
    <sheet name="Cond_2p" sheetId="2" state="hidden" r:id="rId8"/>
    <sheet name="Subjects" sheetId="3" state="hidden" r:id="rId9"/>
    <sheet name="Cond_3p" sheetId="9" state="hidden" r:id="rId10"/>
  </sheets>
  <definedNames>
    <definedName name="_xlnm._FilterDatabase" localSheetId="0" hidden="1">Форма_2п!$B$8:$G$11</definedName>
    <definedName name="Z_0F955BED_3AA5_4ED9_8747_25E63CDA70F7_.wvu.Cols" localSheetId="0" hidden="1">Форма_2п!$C:$K</definedName>
    <definedName name="Z_0F955BED_3AA5_4ED9_8747_25E63CDA70F7_.wvu.FilterData" localSheetId="0" hidden="1">Форма_2п!$B$8:$G$11</definedName>
    <definedName name="Z_0F955BED_3AA5_4ED9_8747_25E63CDA70F7_.wvu.PrintArea" localSheetId="7" hidden="1">Cond_2p!$1:$1048576</definedName>
    <definedName name="Z_0F955BED_3AA5_4ED9_8747_25E63CDA70F7_.wvu.PrintTitles" localSheetId="0" hidden="1">Форма_2п!$9:$11</definedName>
    <definedName name="Z_0F955BED_3AA5_4ED9_8747_25E63CDA70F7_.wvu.Rows" localSheetId="0" hidden="1">Форма_2п!#REF!,Форма_2п!$8:$8</definedName>
    <definedName name="Z_1CCF9464_AEC0_4C0F_98A5_E7B17D04C7EE_.wvu.Cols" localSheetId="0" hidden="1">Форма_2п!$C:$K</definedName>
    <definedName name="Z_1CCF9464_AEC0_4C0F_98A5_E7B17D04C7EE_.wvu.FilterData" localSheetId="0" hidden="1">Форма_2п!$B$8:$G$11</definedName>
    <definedName name="Z_1CCF9464_AEC0_4C0F_98A5_E7B17D04C7EE_.wvu.PrintArea" localSheetId="7" hidden="1">Cond_2p!$1:$1048576</definedName>
    <definedName name="Z_1CCF9464_AEC0_4C0F_98A5_E7B17D04C7EE_.wvu.PrintTitles" localSheetId="0" hidden="1">Форма_2п!$9:$11</definedName>
    <definedName name="Z_2A0D3FC1_008C_421C_8185_69EEE9802E8F_.wvu.FilterData" localSheetId="0" hidden="1">Форма_2п!$B$8:$G$11</definedName>
    <definedName name="Z_4D3410BB_2371_487E_AAF7_AC8AFE6E56CA_.wvu.Cols" localSheetId="0" hidden="1">Форма_2п!$C:$K</definedName>
    <definedName name="Z_4D3410BB_2371_487E_AAF7_AC8AFE6E56CA_.wvu.FilterData" localSheetId="0" hidden="1">Форма_2п!$B$8:$G$11</definedName>
    <definedName name="Z_4D3410BB_2371_487E_AAF7_AC8AFE6E56CA_.wvu.PrintArea" localSheetId="7" hidden="1">Cond_2p!$1:$1048576</definedName>
    <definedName name="Z_4D3410BB_2371_487E_AAF7_AC8AFE6E56CA_.wvu.PrintTitles" localSheetId="0" hidden="1">Форма_2п!$9:$11</definedName>
    <definedName name="Z_77D4B8AA_2D12_454E_8920_2F102814BFC0_.wvu.PrintArea" localSheetId="1" hidden="1">Форма_3п!$A$1:$G$101</definedName>
    <definedName name="Z_A77FDE54_1C34_42D3_AB21_D5EA3CF0EB76_.wvu.FilterData" localSheetId="0" hidden="1">Форма_2п!$B$8:$G$11</definedName>
    <definedName name="Z_AC0A06EF_23F9_405C_A847_5A1F3FCA51B1_.wvu.FilterData" localSheetId="0" hidden="1">Форма_2п!$B$8:$G$11</definedName>
    <definedName name="Z_CA566A40_D8DF_4A83_8430_0418F2E4D7CA_.wvu.FilterData" localSheetId="0" hidden="1">Форма_2п!$B$8:$G$11</definedName>
    <definedName name="Z_F999748C_9832_11D8_83FB_00E04C392051_.wvu.Cols" localSheetId="0" hidden="1">Форма_2п!$C:$K</definedName>
    <definedName name="Z_F999748C_9832_11D8_83FB_00E04C392051_.wvu.FilterData" localSheetId="0" hidden="1">Форма_2п!$B$8:$G$11</definedName>
    <definedName name="Z_F999748C_9832_11D8_83FB_00E04C392051_.wvu.PrintArea" localSheetId="7" hidden="1">Cond_2p!$1:$1048576</definedName>
    <definedName name="Z_F999748C_9832_11D8_83FB_00E04C392051_.wvu.PrintTitles" localSheetId="0" hidden="1">Форма_2п!$9:$11</definedName>
    <definedName name="Z_F999748C_9832_11D8_83FB_00E04C392051_.wvu.Rows" localSheetId="0" hidden="1">Форма_2п!#REF!,Форма_2п!$8:$8</definedName>
    <definedName name="_xlnm.Print_Titles" localSheetId="0">Форма_2п!$9:$11</definedName>
    <definedName name="_xlnm.Print_Area" localSheetId="7">Cond_2p!$1:$1048576</definedName>
    <definedName name="_xlnm.Print_Area" localSheetId="0">Форма_2п!$A$1:$Y$555</definedName>
  </definedNames>
  <calcPr calcId="144525"/>
  <customWorkbookViews>
    <customWorkbookView name="Долонина - Личное представление" guid="{77D4B8AA-2D12-454E-8920-2F102814BFC0}" mergeInterval="0" personalView="1" maximized="1" windowWidth="796" windowHeight="411" tabRatio="599" activeSheetId="5"/>
    <customWorkbookView name="Тиунов - Личное представление" guid="{0F955BED-3AA5-4ED9-8747-25E63CDA70F7}" mergeInterval="0" personalView="1" maximized="1" windowWidth="1020" windowHeight="606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ыпачева - Личное представление" guid="{4D3410BB-2371-487E-AAF7-AC8AFE6E56CA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T310" i="1" l="1"/>
  <c r="T320" i="1" s="1"/>
  <c r="M463" i="1"/>
  <c r="P463" i="1"/>
  <c r="AO561" i="1"/>
  <c r="AN561" i="1"/>
  <c r="O561" i="1"/>
  <c r="S561" i="1" s="1"/>
  <c r="T561" i="1" s="1"/>
  <c r="N561" i="1"/>
  <c r="N463" i="1" s="1"/>
  <c r="L561" i="1"/>
  <c r="L463" i="1" s="1"/>
  <c r="S210" i="1"/>
  <c r="T210" i="1" s="1"/>
  <c r="V210" i="1" s="1"/>
  <c r="X210" i="1" s="1"/>
  <c r="M211" i="1"/>
  <c r="N211" i="1"/>
  <c r="O211" i="1"/>
  <c r="P211" i="1"/>
  <c r="R211" i="1"/>
  <c r="Q211" i="1"/>
  <c r="Z142" i="1"/>
  <c r="AD142" i="1"/>
  <c r="Q142" i="1" s="1"/>
  <c r="R109" i="1"/>
  <c r="Q109" i="1"/>
  <c r="P109" i="1"/>
  <c r="O109" i="1"/>
  <c r="N109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Q100" i="1"/>
  <c r="P100" i="1"/>
  <c r="O100" i="1"/>
  <c r="N100" i="1"/>
  <c r="Q96" i="1"/>
  <c r="P96" i="1"/>
  <c r="O96" i="1"/>
  <c r="N96" i="1"/>
  <c r="Q92" i="1"/>
  <c r="P92" i="1"/>
  <c r="O92" i="1"/>
  <c r="N92" i="1"/>
  <c r="Q88" i="1"/>
  <c r="P88" i="1"/>
  <c r="O88" i="1"/>
  <c r="N88" i="1"/>
  <c r="Q84" i="1"/>
  <c r="P84" i="1"/>
  <c r="O84" i="1"/>
  <c r="N84" i="1"/>
  <c r="Q76" i="1"/>
  <c r="P76" i="1"/>
  <c r="O76" i="1"/>
  <c r="N76" i="1"/>
  <c r="P68" i="1"/>
  <c r="O68" i="1"/>
  <c r="N68" i="1"/>
  <c r="Q64" i="1"/>
  <c r="P64" i="1"/>
  <c r="O64" i="1"/>
  <c r="N64" i="1"/>
  <c r="P56" i="1"/>
  <c r="O56" i="1"/>
  <c r="N56" i="1"/>
  <c r="Q52" i="1"/>
  <c r="P52" i="1"/>
  <c r="O52" i="1"/>
  <c r="N52" i="1"/>
  <c r="R43" i="1"/>
  <c r="Q43" i="1"/>
  <c r="P43" i="1"/>
  <c r="O43" i="1"/>
  <c r="N43" i="1"/>
  <c r="AN540" i="1"/>
  <c r="AO540" i="1"/>
  <c r="AN541" i="1"/>
  <c r="AO541" i="1"/>
  <c r="AN526" i="1"/>
  <c r="AO526" i="1"/>
  <c r="AN528" i="1"/>
  <c r="AO528" i="1"/>
  <c r="O530" i="1"/>
  <c r="P530" i="1"/>
  <c r="Q530" i="1"/>
  <c r="R530" i="1"/>
  <c r="S530" i="1"/>
  <c r="T530" i="1"/>
  <c r="U530" i="1" s="1"/>
  <c r="V530" i="1"/>
  <c r="W530" i="1" s="1"/>
  <c r="X530" i="1"/>
  <c r="Y530" i="1" s="1"/>
  <c r="AN530" i="1"/>
  <c r="AO530" i="1"/>
  <c r="Q531" i="1"/>
  <c r="R531" i="1" s="1"/>
  <c r="S531" i="1" s="1"/>
  <c r="T531" i="1" s="1"/>
  <c r="Q532" i="1"/>
  <c r="R532" i="1" s="1"/>
  <c r="AN532" i="1"/>
  <c r="AO532" i="1"/>
  <c r="Q533" i="1"/>
  <c r="R533" i="1" s="1"/>
  <c r="U525" i="1"/>
  <c r="W525" i="1"/>
  <c r="Y525" i="1"/>
  <c r="AN525" i="1"/>
  <c r="AO525" i="1"/>
  <c r="Q522" i="1"/>
  <c r="AO514" i="1" s="1"/>
  <c r="P522" i="1"/>
  <c r="O522" i="1"/>
  <c r="N522" i="1"/>
  <c r="M522" i="1"/>
  <c r="L522" i="1"/>
  <c r="Q521" i="1"/>
  <c r="P521" i="1"/>
  <c r="O521" i="1"/>
  <c r="N521" i="1"/>
  <c r="M521" i="1"/>
  <c r="L521" i="1"/>
  <c r="L515" i="1"/>
  <c r="L519" i="1"/>
  <c r="M519" i="1"/>
  <c r="N519" i="1"/>
  <c r="O519" i="1"/>
  <c r="P519" i="1"/>
  <c r="Q519" i="1"/>
  <c r="AN519" i="1"/>
  <c r="AO519" i="1"/>
  <c r="X513" i="1"/>
  <c r="V513" i="1"/>
  <c r="T513" i="1"/>
  <c r="S513" i="1"/>
  <c r="R513" i="1"/>
  <c r="Q513" i="1"/>
  <c r="P513" i="1"/>
  <c r="O513" i="1"/>
  <c r="N513" i="1"/>
  <c r="M513" i="1"/>
  <c r="L513" i="1"/>
  <c r="X512" i="1"/>
  <c r="V512" i="1"/>
  <c r="T512" i="1"/>
  <c r="S512" i="1"/>
  <c r="R512" i="1"/>
  <c r="Q512" i="1"/>
  <c r="P512" i="1"/>
  <c r="O512" i="1"/>
  <c r="N512" i="1"/>
  <c r="M512" i="1"/>
  <c r="L512" i="1"/>
  <c r="L509" i="1"/>
  <c r="X509" i="1"/>
  <c r="Y509" i="1" s="1"/>
  <c r="V509" i="1"/>
  <c r="T509" i="1"/>
  <c r="S509" i="1"/>
  <c r="R509" i="1"/>
  <c r="Q509" i="1"/>
  <c r="P509" i="1"/>
  <c r="O509" i="1"/>
  <c r="N509" i="1"/>
  <c r="M509" i="1"/>
  <c r="Q507" i="1"/>
  <c r="P507" i="1"/>
  <c r="O507" i="1"/>
  <c r="N507" i="1"/>
  <c r="M507" i="1"/>
  <c r="L507" i="1"/>
  <c r="Q506" i="1"/>
  <c r="P506" i="1"/>
  <c r="O506" i="1"/>
  <c r="N506" i="1"/>
  <c r="M506" i="1"/>
  <c r="L506" i="1"/>
  <c r="X504" i="1"/>
  <c r="X503" i="1" s="1"/>
  <c r="V504" i="1"/>
  <c r="V503" i="1" s="1"/>
  <c r="T504" i="1"/>
  <c r="T503" i="1" s="1"/>
  <c r="S504" i="1"/>
  <c r="S503" i="1" s="1"/>
  <c r="P504" i="1"/>
  <c r="P503" i="1" s="1"/>
  <c r="O504" i="1"/>
  <c r="O503" i="1" s="1"/>
  <c r="N504" i="1"/>
  <c r="N503" i="1" s="1"/>
  <c r="M504" i="1"/>
  <c r="M503" i="1" s="1"/>
  <c r="L504" i="1"/>
  <c r="L503" i="1" s="1"/>
  <c r="R503" i="1"/>
  <c r="Q503" i="1"/>
  <c r="U492" i="1"/>
  <c r="W492" i="1"/>
  <c r="Y492" i="1"/>
  <c r="AN492" i="1"/>
  <c r="AO492" i="1"/>
  <c r="N490" i="1"/>
  <c r="M490" i="1"/>
  <c r="X478" i="1"/>
  <c r="Y478" i="1" s="1"/>
  <c r="L500" i="1"/>
  <c r="AF142" i="1"/>
  <c r="V142" i="1"/>
  <c r="T142" i="1"/>
  <c r="Y142" i="1"/>
  <c r="W142" i="1"/>
  <c r="S142" i="1"/>
  <c r="O437" i="1"/>
  <c r="P437" i="1"/>
  <c r="R437" i="1"/>
  <c r="S437" i="1"/>
  <c r="T437" i="1"/>
  <c r="V437" i="1"/>
  <c r="X437" i="1"/>
  <c r="Q437" i="1"/>
  <c r="M437" i="1"/>
  <c r="N437" i="1"/>
  <c r="L437" i="1"/>
  <c r="U452" i="1"/>
  <c r="W452" i="1"/>
  <c r="Y452" i="1"/>
  <c r="N416" i="1"/>
  <c r="N415" i="1" s="1"/>
  <c r="N414" i="1" s="1"/>
  <c r="AN422" i="1"/>
  <c r="V416" i="1"/>
  <c r="V415" i="1" s="1"/>
  <c r="V414" i="1" s="1"/>
  <c r="L416" i="1"/>
  <c r="L415" i="1" s="1"/>
  <c r="L414" i="1" s="1"/>
  <c r="M416" i="1"/>
  <c r="M415" i="1" s="1"/>
  <c r="M414" i="1" s="1"/>
  <c r="P416" i="1"/>
  <c r="P415" i="1" s="1"/>
  <c r="P414" i="1" s="1"/>
  <c r="R416" i="1"/>
  <c r="R415" i="1" s="1"/>
  <c r="R414" i="1" s="1"/>
  <c r="S416" i="1"/>
  <c r="S415" i="1" s="1"/>
  <c r="S414" i="1" s="1"/>
  <c r="T416" i="1"/>
  <c r="T415" i="1" s="1"/>
  <c r="T414" i="1" s="1"/>
  <c r="X416" i="1"/>
  <c r="X415" i="1" s="1"/>
  <c r="X414" i="1" s="1"/>
  <c r="Q416" i="1"/>
  <c r="Q415" i="1" s="1"/>
  <c r="Q414" i="1" s="1"/>
  <c r="AO422" i="1"/>
  <c r="AN421" i="1"/>
  <c r="AO421" i="1"/>
  <c r="L412" i="1"/>
  <c r="AN401" i="1"/>
  <c r="AO401" i="1"/>
  <c r="O369" i="1"/>
  <c r="N369" i="1"/>
  <c r="M369" i="1"/>
  <c r="M328" i="1" s="1"/>
  <c r="M391" i="1" s="1"/>
  <c r="M393" i="1" s="1"/>
  <c r="M402" i="1" s="1"/>
  <c r="L369" i="1"/>
  <c r="M409" i="1"/>
  <c r="N409" i="1"/>
  <c r="O409" i="1"/>
  <c r="P409" i="1"/>
  <c r="Q409" i="1"/>
  <c r="S409" i="1"/>
  <c r="T409" i="1"/>
  <c r="V409" i="1"/>
  <c r="X409" i="1"/>
  <c r="L327" i="1"/>
  <c r="M327" i="1"/>
  <c r="M326" i="1" s="1"/>
  <c r="N327" i="1"/>
  <c r="N326" i="1" s="1"/>
  <c r="O327" i="1"/>
  <c r="O326" i="1" s="1"/>
  <c r="P327" i="1"/>
  <c r="P376" i="1" s="1"/>
  <c r="Q327" i="1"/>
  <c r="Q326" i="1" s="1"/>
  <c r="R327" i="1"/>
  <c r="R326" i="1" s="1"/>
  <c r="S327" i="1"/>
  <c r="S326" i="1" s="1"/>
  <c r="T327" i="1"/>
  <c r="T326" i="1" s="1"/>
  <c r="U326" i="1" s="1"/>
  <c r="U327" i="1"/>
  <c r="V327" i="1"/>
  <c r="V326" i="1" s="1"/>
  <c r="W326" i="1" s="1"/>
  <c r="W327" i="1"/>
  <c r="X327" i="1"/>
  <c r="X326" i="1" s="1"/>
  <c r="Y326" i="1" s="1"/>
  <c r="Y327" i="1"/>
  <c r="AN327" i="1"/>
  <c r="AO327" i="1"/>
  <c r="Y310" i="1"/>
  <c r="X310" i="1"/>
  <c r="X320" i="1" s="1"/>
  <c r="W310" i="1"/>
  <c r="V310" i="1"/>
  <c r="V320" i="1" s="1"/>
  <c r="U310" i="1"/>
  <c r="S310" i="1"/>
  <c r="S320" i="1" s="1"/>
  <c r="R310" i="1"/>
  <c r="R320" i="1" s="1"/>
  <c r="Q310" i="1"/>
  <c r="P310" i="1"/>
  <c r="P320" i="1" s="1"/>
  <c r="O310" i="1"/>
  <c r="N310" i="1"/>
  <c r="N320" i="1" s="1"/>
  <c r="M310" i="1"/>
  <c r="M320" i="1" s="1"/>
  <c r="L310" i="1"/>
  <c r="AO308" i="1"/>
  <c r="AN308" i="1"/>
  <c r="AO307" i="1"/>
  <c r="AN307" i="1"/>
  <c r="AN288" i="1"/>
  <c r="AO288" i="1"/>
  <c r="AN289" i="1"/>
  <c r="AO289" i="1"/>
  <c r="U290" i="1"/>
  <c r="W290" i="1"/>
  <c r="Y290" i="1"/>
  <c r="L293" i="1"/>
  <c r="M293" i="1" s="1"/>
  <c r="N293" i="1" s="1"/>
  <c r="O293" i="1" s="1"/>
  <c r="P293" i="1" s="1"/>
  <c r="Q293" i="1" s="1"/>
  <c r="L294" i="1"/>
  <c r="M294" i="1" s="1"/>
  <c r="N294" i="1" s="1"/>
  <c r="O294" i="1" s="1"/>
  <c r="P294" i="1" s="1"/>
  <c r="Q294" i="1" s="1"/>
  <c r="L295" i="1"/>
  <c r="M295" i="1" s="1"/>
  <c r="N295" i="1" s="1"/>
  <c r="O295" i="1" s="1"/>
  <c r="P295" i="1" s="1"/>
  <c r="Q295" i="1" s="1"/>
  <c r="L296" i="1"/>
  <c r="M296" i="1" s="1"/>
  <c r="N296" i="1" s="1"/>
  <c r="O296" i="1" s="1"/>
  <c r="P296" i="1" s="1"/>
  <c r="Q296" i="1" s="1"/>
  <c r="L297" i="1"/>
  <c r="M297" i="1" s="1"/>
  <c r="N297" i="1" s="1"/>
  <c r="O297" i="1" s="1"/>
  <c r="P297" i="1" s="1"/>
  <c r="Q297" i="1" s="1"/>
  <c r="L298" i="1"/>
  <c r="M298" i="1" s="1"/>
  <c r="N298" i="1" s="1"/>
  <c r="O298" i="1" s="1"/>
  <c r="P298" i="1" s="1"/>
  <c r="Q298" i="1" s="1"/>
  <c r="AN298" i="1"/>
  <c r="AO298" i="1"/>
  <c r="M299" i="1"/>
  <c r="N299" i="1" s="1"/>
  <c r="O299" i="1" s="1"/>
  <c r="P299" i="1" s="1"/>
  <c r="Q299" i="1" s="1"/>
  <c r="AN299" i="1"/>
  <c r="AO299" i="1"/>
  <c r="L271" i="1"/>
  <c r="Y271" i="1"/>
  <c r="W271" i="1"/>
  <c r="U271" i="1"/>
  <c r="U320" i="1" s="1"/>
  <c r="O416" i="1"/>
  <c r="O415" i="1" s="1"/>
  <c r="O414" i="1" s="1"/>
  <c r="AO305" i="1"/>
  <c r="AO301" i="1"/>
  <c r="L305" i="1"/>
  <c r="R205" i="1"/>
  <c r="R201" i="1" s="1"/>
  <c r="Q205" i="1"/>
  <c r="Q201" i="1" s="1"/>
  <c r="R147" i="1"/>
  <c r="S147" i="1" s="1"/>
  <c r="Q147" i="1"/>
  <c r="P147" i="1"/>
  <c r="O147" i="1"/>
  <c r="N147" i="1"/>
  <c r="M147" i="1"/>
  <c r="L147" i="1"/>
  <c r="O143" i="1"/>
  <c r="M143" i="1"/>
  <c r="AE217" i="1"/>
  <c r="AH220" i="1"/>
  <c r="AH214" i="1"/>
  <c r="Y537" i="1"/>
  <c r="W537" i="1"/>
  <c r="U537" i="1"/>
  <c r="W478" i="1"/>
  <c r="S87" i="1"/>
  <c r="AN534" i="1"/>
  <c r="AO534" i="1"/>
  <c r="AN305" i="1"/>
  <c r="AN301" i="1"/>
  <c r="Y14" i="1"/>
  <c r="W14" i="1"/>
  <c r="Y518" i="1"/>
  <c r="W518" i="1"/>
  <c r="U518" i="1"/>
  <c r="Y505" i="1"/>
  <c r="Y504" i="1"/>
  <c r="Y502" i="1"/>
  <c r="W505" i="1"/>
  <c r="W504" i="1"/>
  <c r="W502" i="1"/>
  <c r="U505" i="1"/>
  <c r="U504" i="1"/>
  <c r="U502" i="1"/>
  <c r="Y494" i="1"/>
  <c r="W494" i="1"/>
  <c r="U494" i="1"/>
  <c r="Y496" i="1"/>
  <c r="W496" i="1"/>
  <c r="U496" i="1"/>
  <c r="Y495" i="1"/>
  <c r="W495" i="1"/>
  <c r="U495" i="1"/>
  <c r="Y482" i="1"/>
  <c r="W482" i="1"/>
  <c r="U482" i="1"/>
  <c r="U478" i="1"/>
  <c r="X323" i="1"/>
  <c r="Y323" i="1" s="1"/>
  <c r="Y219" i="1"/>
  <c r="W219" i="1"/>
  <c r="U219" i="1"/>
  <c r="R144" i="1"/>
  <c r="S144" i="1"/>
  <c r="T144" i="1"/>
  <c r="U144" i="1"/>
  <c r="V144" i="1"/>
  <c r="W144" i="1"/>
  <c r="X144" i="1"/>
  <c r="Y144" i="1"/>
  <c r="Q144" i="1"/>
  <c r="U143" i="1"/>
  <c r="V143" i="1"/>
  <c r="W143" i="1"/>
  <c r="X143" i="1"/>
  <c r="Y143" i="1"/>
  <c r="U129" i="1"/>
  <c r="V129" i="1"/>
  <c r="W129" i="1"/>
  <c r="X129" i="1"/>
  <c r="Y129" i="1"/>
  <c r="Y111" i="1"/>
  <c r="U111" i="1"/>
  <c r="U102" i="1"/>
  <c r="V102" i="1"/>
  <c r="W102" i="1"/>
  <c r="X102" i="1"/>
  <c r="Y102" i="1"/>
  <c r="T102" i="1"/>
  <c r="U98" i="1"/>
  <c r="V98" i="1"/>
  <c r="W98" i="1"/>
  <c r="X98" i="1"/>
  <c r="Y98" i="1"/>
  <c r="T98" i="1"/>
  <c r="Y78" i="1"/>
  <c r="W78" i="1"/>
  <c r="U78" i="1"/>
  <c r="N116" i="1"/>
  <c r="O116" i="1"/>
  <c r="P116" i="1"/>
  <c r="Q116" i="1"/>
  <c r="R116" i="1"/>
  <c r="U89" i="1"/>
  <c r="Y23" i="1"/>
  <c r="Y20" i="1"/>
  <c r="Y19" i="1"/>
  <c r="Y18" i="1"/>
  <c r="Y17" i="1"/>
  <c r="W23" i="1"/>
  <c r="W20" i="1"/>
  <c r="W19" i="1"/>
  <c r="W18" i="1"/>
  <c r="W17" i="1"/>
  <c r="U23" i="1"/>
  <c r="U20" i="1"/>
  <c r="U19" i="1"/>
  <c r="U18" i="1"/>
  <c r="U17" i="1"/>
  <c r="U14" i="1"/>
  <c r="U37" i="1"/>
  <c r="V37" i="1"/>
  <c r="W37" i="1"/>
  <c r="X37" i="1"/>
  <c r="Y37" i="1"/>
  <c r="S32" i="1"/>
  <c r="X475" i="1"/>
  <c r="P475" i="1"/>
  <c r="Q475" i="1"/>
  <c r="R475" i="1"/>
  <c r="S475" i="1"/>
  <c r="T475" i="1"/>
  <c r="U475" i="1" s="1"/>
  <c r="V475" i="1"/>
  <c r="P476" i="1"/>
  <c r="Q476" i="1"/>
  <c r="R476" i="1"/>
  <c r="S476" i="1"/>
  <c r="T476" i="1"/>
  <c r="U476" i="1" s="1"/>
  <c r="V476" i="1"/>
  <c r="W476" i="1" s="1"/>
  <c r="X476" i="1"/>
  <c r="Y476" i="1" s="1"/>
  <c r="O476" i="1"/>
  <c r="O475" i="1"/>
  <c r="M476" i="1"/>
  <c r="N476" i="1"/>
  <c r="L476" i="1"/>
  <c r="M475" i="1"/>
  <c r="N475" i="1"/>
  <c r="L475" i="1"/>
  <c r="O517" i="1"/>
  <c r="P517" i="1"/>
  <c r="Q517" i="1"/>
  <c r="R517" i="1"/>
  <c r="S517" i="1"/>
  <c r="T517" i="1"/>
  <c r="U517" i="1" s="1"/>
  <c r="V517" i="1"/>
  <c r="W517" i="1" s="1"/>
  <c r="X517" i="1"/>
  <c r="Y517" i="1" s="1"/>
  <c r="L517" i="1"/>
  <c r="S516" i="1"/>
  <c r="T516" i="1"/>
  <c r="U516" i="1" s="1"/>
  <c r="V516" i="1"/>
  <c r="W516" i="1" s="1"/>
  <c r="X516" i="1"/>
  <c r="Y516" i="1" s="1"/>
  <c r="O516" i="1"/>
  <c r="P516" i="1"/>
  <c r="Q516" i="1"/>
  <c r="L516" i="1"/>
  <c r="Q515" i="1"/>
  <c r="P515" i="1"/>
  <c r="M515" i="1"/>
  <c r="Q569" i="1"/>
  <c r="L569" i="1"/>
  <c r="V566" i="1"/>
  <c r="W566" i="1" s="1"/>
  <c r="X566" i="1"/>
  <c r="Y566" i="1" s="1"/>
  <c r="T566" i="1"/>
  <c r="U566" i="1" s="1"/>
  <c r="S566" i="1"/>
  <c r="S567" i="1" s="1"/>
  <c r="R566" i="1"/>
  <c r="R567" i="1" s="1"/>
  <c r="Q464" i="1"/>
  <c r="R464" i="1" s="1"/>
  <c r="S498" i="1"/>
  <c r="T498" i="1" s="1"/>
  <c r="T493" i="1"/>
  <c r="R487" i="1"/>
  <c r="S487" i="1" s="1"/>
  <c r="T487" i="1" s="1"/>
  <c r="V487" i="1" s="1"/>
  <c r="X487" i="1" s="1"/>
  <c r="R488" i="1"/>
  <c r="S488" i="1" s="1"/>
  <c r="T488" i="1" s="1"/>
  <c r="V488" i="1" s="1"/>
  <c r="X488" i="1" s="1"/>
  <c r="R489" i="1"/>
  <c r="S489" i="1" s="1"/>
  <c r="T489" i="1" s="1"/>
  <c r="V489" i="1" s="1"/>
  <c r="X489" i="1" s="1"/>
  <c r="R490" i="1"/>
  <c r="S490" i="1" s="1"/>
  <c r="T490" i="1" s="1"/>
  <c r="V490" i="1" s="1"/>
  <c r="X490" i="1" s="1"/>
  <c r="Q486" i="1"/>
  <c r="R486" i="1" s="1"/>
  <c r="S486" i="1" s="1"/>
  <c r="T486" i="1" s="1"/>
  <c r="V486" i="1" s="1"/>
  <c r="X486" i="1" s="1"/>
  <c r="S563" i="1"/>
  <c r="T563" i="1" s="1"/>
  <c r="S470" i="1"/>
  <c r="Q470" i="1"/>
  <c r="R470" i="1"/>
  <c r="P470" i="1"/>
  <c r="L457" i="1"/>
  <c r="L477" i="1" s="1"/>
  <c r="M457" i="1"/>
  <c r="M477" i="1" s="1"/>
  <c r="M473" i="1" s="1"/>
  <c r="N457" i="1"/>
  <c r="N477" i="1" s="1"/>
  <c r="O457" i="1"/>
  <c r="O477" i="1" s="1"/>
  <c r="L465" i="1"/>
  <c r="P465" i="1"/>
  <c r="R497" i="1"/>
  <c r="S497" i="1"/>
  <c r="T497" i="1"/>
  <c r="U497" i="1" s="1"/>
  <c r="V497" i="1"/>
  <c r="W497" i="1" s="1"/>
  <c r="X497" i="1"/>
  <c r="Y497" i="1" s="1"/>
  <c r="Q221" i="1"/>
  <c r="R221" i="1"/>
  <c r="Q457" i="1"/>
  <c r="Q477" i="1" s="1"/>
  <c r="Q473" i="1" s="1"/>
  <c r="R460" i="1"/>
  <c r="S460" i="1"/>
  <c r="T460" i="1"/>
  <c r="U460" i="1" s="1"/>
  <c r="V460" i="1"/>
  <c r="W460" i="1" s="1"/>
  <c r="X460" i="1"/>
  <c r="Y460" i="1" s="1"/>
  <c r="R457" i="1"/>
  <c r="R477" i="1" s="1"/>
  <c r="S457" i="1"/>
  <c r="S477" i="1" s="1"/>
  <c r="T457" i="1"/>
  <c r="T477" i="1" s="1"/>
  <c r="V457" i="1"/>
  <c r="V477" i="1" s="1"/>
  <c r="X457" i="1"/>
  <c r="X477" i="1" s="1"/>
  <c r="Y477" i="1" s="1"/>
  <c r="AA444" i="1"/>
  <c r="AB444" i="1"/>
  <c r="AC444" i="1"/>
  <c r="AD444" i="1"/>
  <c r="AE444" i="1"/>
  <c r="O328" i="1"/>
  <c r="O391" i="1" s="1"/>
  <c r="AO384" i="1"/>
  <c r="AO385" i="1"/>
  <c r="L411" i="1"/>
  <c r="L397" i="1"/>
  <c r="L409" i="1" s="1"/>
  <c r="V374" i="1"/>
  <c r="X374" i="1" s="1"/>
  <c r="Q374" i="1"/>
  <c r="R323" i="1"/>
  <c r="S323" i="1"/>
  <c r="T323" i="1"/>
  <c r="U323" i="1" s="1"/>
  <c r="U322" i="1" s="1"/>
  <c r="O127" i="1"/>
  <c r="P135" i="1"/>
  <c r="P128" i="1" s="1"/>
  <c r="Q135" i="1"/>
  <c r="Q128" i="1" s="1"/>
  <c r="O105" i="1"/>
  <c r="L105" i="1"/>
  <c r="N105" i="1"/>
  <c r="Q101" i="1"/>
  <c r="P101" i="1"/>
  <c r="O101" i="1"/>
  <c r="N101" i="1"/>
  <c r="M101" i="1"/>
  <c r="Q97" i="1"/>
  <c r="P97" i="1"/>
  <c r="O97" i="1"/>
  <c r="N97" i="1"/>
  <c r="M97" i="1"/>
  <c r="Q93" i="1"/>
  <c r="P93" i="1"/>
  <c r="O93" i="1"/>
  <c r="N93" i="1"/>
  <c r="M93" i="1"/>
  <c r="S53" i="1"/>
  <c r="R90" i="1"/>
  <c r="R89" i="1" s="1"/>
  <c r="R87" i="1" s="1"/>
  <c r="M89" i="1"/>
  <c r="R99" i="1"/>
  <c r="R100" i="1" s="1"/>
  <c r="R95" i="1"/>
  <c r="R96" i="1" s="1"/>
  <c r="R91" i="1"/>
  <c r="R92" i="1" s="1"/>
  <c r="P89" i="1"/>
  <c r="AO89" i="1" s="1"/>
  <c r="R83" i="1"/>
  <c r="R84" i="1" s="1"/>
  <c r="P85" i="1"/>
  <c r="Q85" i="1"/>
  <c r="R75" i="1"/>
  <c r="R76" i="1" s="1"/>
  <c r="P77" i="1"/>
  <c r="Q77" i="1"/>
  <c r="Q67" i="1"/>
  <c r="P69" i="1"/>
  <c r="N89" i="1"/>
  <c r="O89" i="1"/>
  <c r="O85" i="1"/>
  <c r="N85" i="1"/>
  <c r="M85" i="1"/>
  <c r="O77" i="1"/>
  <c r="N77" i="1"/>
  <c r="M77" i="1"/>
  <c r="O69" i="1"/>
  <c r="N69" i="1"/>
  <c r="M69" i="1"/>
  <c r="R105" i="1"/>
  <c r="R63" i="1"/>
  <c r="R64" i="1" s="1"/>
  <c r="M65" i="1"/>
  <c r="N65" i="1"/>
  <c r="O65" i="1"/>
  <c r="P65" i="1"/>
  <c r="Q65" i="1"/>
  <c r="P58" i="1"/>
  <c r="P57" i="1" s="1"/>
  <c r="O58" i="1"/>
  <c r="O57" i="1" s="1"/>
  <c r="Q55" i="1"/>
  <c r="AO55" i="1" s="1"/>
  <c r="M53" i="1"/>
  <c r="N53" i="1"/>
  <c r="O53" i="1"/>
  <c r="P53" i="1"/>
  <c r="Q53" i="1"/>
  <c r="R51" i="1"/>
  <c r="Q44" i="1"/>
  <c r="Q36" i="1" s="1"/>
  <c r="R44" i="1"/>
  <c r="R36" i="1" s="1"/>
  <c r="P44" i="1"/>
  <c r="P36" i="1" s="1"/>
  <c r="O121" i="1"/>
  <c r="P110" i="1"/>
  <c r="P111" i="1" s="1"/>
  <c r="Q110" i="1"/>
  <c r="Q111" i="1" s="1"/>
  <c r="Q122" i="1" s="1"/>
  <c r="O117" i="1"/>
  <c r="R110" i="1"/>
  <c r="R111" i="1" s="1"/>
  <c r="R122" i="1" s="1"/>
  <c r="S112" i="1"/>
  <c r="O110" i="1"/>
  <c r="O111" i="1" s="1"/>
  <c r="O122" i="1" s="1"/>
  <c r="M110" i="1"/>
  <c r="M111" i="1" s="1"/>
  <c r="N110" i="1"/>
  <c r="N111" i="1" s="1"/>
  <c r="Q34" i="1"/>
  <c r="R34" i="1"/>
  <c r="L47" i="1"/>
  <c r="P47" i="1"/>
  <c r="P34" i="1"/>
  <c r="L34" i="1"/>
  <c r="M47" i="1"/>
  <c r="M34" i="1"/>
  <c r="N47" i="1"/>
  <c r="N34" i="1"/>
  <c r="Q148" i="1"/>
  <c r="Q150" i="1" s="1"/>
  <c r="R148" i="1"/>
  <c r="R150" i="1" s="1"/>
  <c r="S148" i="1"/>
  <c r="S150" i="1" s="1"/>
  <c r="T148" i="1"/>
  <c r="U148" i="1" s="1"/>
  <c r="V148" i="1"/>
  <c r="W148" i="1" s="1"/>
  <c r="X148" i="1"/>
  <c r="Y148" i="1" s="1"/>
  <c r="O148" i="1"/>
  <c r="O150" i="1" s="1"/>
  <c r="N148" i="1"/>
  <c r="N150" i="1" s="1"/>
  <c r="M148" i="1"/>
  <c r="M150" i="1" s="1"/>
  <c r="L148" i="1"/>
  <c r="L150" i="1" s="1"/>
  <c r="P148" i="1"/>
  <c r="P150" i="1" s="1"/>
  <c r="O208" i="1"/>
  <c r="P208" i="1"/>
  <c r="Q208" i="1"/>
  <c r="N218" i="1"/>
  <c r="X218" i="1"/>
  <c r="Y218" i="1" s="1"/>
  <c r="V218" i="1"/>
  <c r="W218" i="1" s="1"/>
  <c r="T218" i="1"/>
  <c r="U218" i="1" s="1"/>
  <c r="U217" i="1" s="1"/>
  <c r="S218" i="1"/>
  <c r="R218" i="1"/>
  <c r="Q218" i="1"/>
  <c r="P218" i="1"/>
  <c r="O218" i="1"/>
  <c r="O221" i="1"/>
  <c r="P221" i="1"/>
  <c r="S221" i="1"/>
  <c r="T221" i="1"/>
  <c r="U221" i="1" s="1"/>
  <c r="U220" i="1" s="1"/>
  <c r="V221" i="1"/>
  <c r="W221" i="1" s="1"/>
  <c r="X221" i="1"/>
  <c r="Y221" i="1" s="1"/>
  <c r="N221" i="1"/>
  <c r="O215" i="1"/>
  <c r="P215" i="1"/>
  <c r="Q215" i="1"/>
  <c r="R215" i="1"/>
  <c r="S215" i="1"/>
  <c r="T215" i="1"/>
  <c r="U215" i="1" s="1"/>
  <c r="U214" i="1" s="1"/>
  <c r="V215" i="1"/>
  <c r="W215" i="1" s="1"/>
  <c r="X215" i="1"/>
  <c r="Y215" i="1" s="1"/>
  <c r="N215" i="1"/>
  <c r="N205" i="1"/>
  <c r="N201" i="1" s="1"/>
  <c r="O205" i="1"/>
  <c r="O201" i="1" s="1"/>
  <c r="P205" i="1"/>
  <c r="P201" i="1" s="1"/>
  <c r="L205" i="1"/>
  <c r="L201" i="1" s="1"/>
  <c r="R168" i="1"/>
  <c r="S168" i="1" s="1"/>
  <c r="T168" i="1" s="1"/>
  <c r="R162" i="1"/>
  <c r="S162" i="1" s="1"/>
  <c r="T162" i="1" s="1"/>
  <c r="R160" i="1"/>
  <c r="S160" i="1" s="1"/>
  <c r="T160" i="1" s="1"/>
  <c r="M205" i="1"/>
  <c r="M201" i="1" s="1"/>
  <c r="R37" i="1"/>
  <c r="S37" i="1"/>
  <c r="T37" i="1"/>
  <c r="R15" i="1"/>
  <c r="S15" i="1"/>
  <c r="T15" i="1"/>
  <c r="U15" i="1" s="1"/>
  <c r="V15" i="1"/>
  <c r="X15" i="1"/>
  <c r="Y513" i="1"/>
  <c r="Y512" i="1"/>
  <c r="X564" i="1"/>
  <c r="X500" i="1" s="1"/>
  <c r="Y500" i="1" s="1"/>
  <c r="X466" i="1"/>
  <c r="Y466" i="1" s="1"/>
  <c r="X412" i="1"/>
  <c r="X411" i="1"/>
  <c r="X122" i="1"/>
  <c r="AX29" i="1"/>
  <c r="AO16" i="1"/>
  <c r="AO17" i="1"/>
  <c r="AO18" i="1"/>
  <c r="AO19" i="1"/>
  <c r="AO20" i="1"/>
  <c r="AO23" i="1"/>
  <c r="AO24" i="1"/>
  <c r="AO25" i="1"/>
  <c r="AO26" i="1"/>
  <c r="AO27" i="1"/>
  <c r="AO28" i="1"/>
  <c r="AO29" i="1"/>
  <c r="AO30" i="1"/>
  <c r="AO32" i="1"/>
  <c r="AO33" i="1"/>
  <c r="AO38" i="1"/>
  <c r="AO40" i="1"/>
  <c r="AO41" i="1"/>
  <c r="AO42" i="1"/>
  <c r="AO45" i="1"/>
  <c r="AO46" i="1"/>
  <c r="AO50" i="1"/>
  <c r="AO54" i="1"/>
  <c r="AO59" i="1"/>
  <c r="AO61" i="1"/>
  <c r="AO62" i="1"/>
  <c r="AO66" i="1"/>
  <c r="AO70" i="1"/>
  <c r="AO71" i="1"/>
  <c r="AO73" i="1"/>
  <c r="AO74" i="1"/>
  <c r="AO78" i="1"/>
  <c r="AO79" i="1"/>
  <c r="AO81" i="1"/>
  <c r="AO82" i="1"/>
  <c r="AO86" i="1"/>
  <c r="AO87" i="1"/>
  <c r="AO94" i="1"/>
  <c r="AO95" i="1"/>
  <c r="AO98" i="1"/>
  <c r="AO102" i="1"/>
  <c r="AO105" i="1"/>
  <c r="AO106" i="1"/>
  <c r="AO107" i="1"/>
  <c r="AO108" i="1"/>
  <c r="AO112" i="1"/>
  <c r="AO113" i="1"/>
  <c r="AO114" i="1"/>
  <c r="AO115" i="1"/>
  <c r="AO118" i="1"/>
  <c r="AO119" i="1"/>
  <c r="AO120" i="1"/>
  <c r="AO123" i="1"/>
  <c r="AO124" i="1"/>
  <c r="AO125" i="1"/>
  <c r="AO126" i="1"/>
  <c r="AO130" i="1"/>
  <c r="AO131" i="1"/>
  <c r="AO132" i="1"/>
  <c r="AO133" i="1"/>
  <c r="AO134" i="1"/>
  <c r="AO136" i="1"/>
  <c r="AO137" i="1"/>
  <c r="AO138" i="1"/>
  <c r="AO139" i="1"/>
  <c r="AO140" i="1"/>
  <c r="AO145" i="1"/>
  <c r="AO146" i="1"/>
  <c r="AO147" i="1"/>
  <c r="AO152" i="1"/>
  <c r="AO153" i="1"/>
  <c r="AO154" i="1"/>
  <c r="AO155" i="1"/>
  <c r="AO156" i="1"/>
  <c r="AO157" i="1"/>
  <c r="AO158" i="1"/>
  <c r="AO159" i="1"/>
  <c r="AO160" i="1"/>
  <c r="AO161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90" i="1"/>
  <c r="AO191" i="1"/>
  <c r="AO192" i="1"/>
  <c r="AO193" i="1"/>
  <c r="AO194" i="1"/>
  <c r="AO195" i="1"/>
  <c r="AO196" i="1"/>
  <c r="AO197" i="1"/>
  <c r="AO199" i="1"/>
  <c r="AO200" i="1"/>
  <c r="AO202" i="1"/>
  <c r="AO206" i="1"/>
  <c r="AO207" i="1"/>
  <c r="AO209" i="1"/>
  <c r="AO212" i="1"/>
  <c r="AO213" i="1"/>
  <c r="AO217" i="1"/>
  <c r="AO219" i="1"/>
  <c r="AO222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60" i="1"/>
  <c r="AO270" i="1"/>
  <c r="AO310" i="1"/>
  <c r="AO319" i="1"/>
  <c r="AO320" i="1"/>
  <c r="AO323" i="1"/>
  <c r="AO324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9" i="1"/>
  <c r="AO361" i="1"/>
  <c r="AO363" i="1"/>
  <c r="AO365" i="1"/>
  <c r="AO367" i="1"/>
  <c r="AO368" i="1"/>
  <c r="AO369" i="1"/>
  <c r="AO371" i="1"/>
  <c r="AO373" i="1"/>
  <c r="AO375" i="1"/>
  <c r="AO377" i="1"/>
  <c r="AO379" i="1"/>
  <c r="AO380" i="1"/>
  <c r="AO382" i="1"/>
  <c r="AO383" i="1"/>
  <c r="AO387" i="1"/>
  <c r="AO388" i="1"/>
  <c r="AO389" i="1"/>
  <c r="AO390" i="1"/>
  <c r="AO391" i="1"/>
  <c r="AO392" i="1"/>
  <c r="AO393" i="1"/>
  <c r="AO394" i="1"/>
  <c r="AO397" i="1"/>
  <c r="AO398" i="1"/>
  <c r="AO399" i="1"/>
  <c r="AO400" i="1"/>
  <c r="AO402" i="1"/>
  <c r="AO403" i="1"/>
  <c r="AO409" i="1"/>
  <c r="AO410" i="1"/>
  <c r="AO411" i="1"/>
  <c r="AO412" i="1"/>
  <c r="AO405" i="1"/>
  <c r="AO406" i="1"/>
  <c r="AO407" i="1"/>
  <c r="AO408" i="1"/>
  <c r="AO413" i="1"/>
  <c r="AO414" i="1"/>
  <c r="AO418" i="1"/>
  <c r="AO419" i="1"/>
  <c r="AO427" i="1"/>
  <c r="AO436" i="1"/>
  <c r="AO437" i="1"/>
  <c r="AO438" i="1"/>
  <c r="AO439" i="1"/>
  <c r="AO440" i="1"/>
  <c r="AO441" i="1"/>
  <c r="AO442" i="1"/>
  <c r="AO443" i="1"/>
  <c r="AO446" i="1"/>
  <c r="AO448" i="1"/>
  <c r="AO456" i="1"/>
  <c r="AO465" i="1"/>
  <c r="AO466" i="1"/>
  <c r="AO468" i="1"/>
  <c r="AO473" i="1"/>
  <c r="AO475" i="1"/>
  <c r="AO470" i="1"/>
  <c r="AO471" i="1"/>
  <c r="AO480" i="1"/>
  <c r="AO486" i="1"/>
  <c r="AO488" i="1"/>
  <c r="AO489" i="1"/>
  <c r="AO490" i="1"/>
  <c r="AO564" i="1"/>
  <c r="AO493" i="1"/>
  <c r="AO494" i="1"/>
  <c r="AO498" i="1"/>
  <c r="AO504" i="1"/>
  <c r="AO505" i="1"/>
  <c r="AO506" i="1"/>
  <c r="AO513" i="1"/>
  <c r="AO568" i="1"/>
  <c r="AO569" i="1"/>
  <c r="AO521" i="1"/>
  <c r="AO522" i="1"/>
  <c r="AO517" i="1"/>
  <c r="AO523" i="1"/>
  <c r="AO537" i="1"/>
  <c r="AO539" i="1"/>
  <c r="AO538" i="1"/>
  <c r="AO542" i="1"/>
  <c r="AO543" i="1"/>
  <c r="AO14" i="1"/>
  <c r="AN16" i="1"/>
  <c r="AN17" i="1"/>
  <c r="AN18" i="1"/>
  <c r="AN19" i="1"/>
  <c r="AN20" i="1"/>
  <c r="AN23" i="1"/>
  <c r="AN24" i="1"/>
  <c r="AN25" i="1"/>
  <c r="AN26" i="1"/>
  <c r="AN27" i="1"/>
  <c r="AN28" i="1"/>
  <c r="AN29" i="1"/>
  <c r="AN30" i="1"/>
  <c r="AN32" i="1"/>
  <c r="AN33" i="1"/>
  <c r="AN38" i="1"/>
  <c r="AN40" i="1"/>
  <c r="AN41" i="1"/>
  <c r="AN42" i="1"/>
  <c r="AN45" i="1"/>
  <c r="AN46" i="1"/>
  <c r="AN50" i="1"/>
  <c r="AN54" i="1"/>
  <c r="AN59" i="1"/>
  <c r="AN61" i="1"/>
  <c r="AN62" i="1"/>
  <c r="AN66" i="1"/>
  <c r="AN70" i="1"/>
  <c r="AN71" i="1"/>
  <c r="AN73" i="1"/>
  <c r="AN74" i="1"/>
  <c r="AN78" i="1"/>
  <c r="AN79" i="1"/>
  <c r="AN81" i="1"/>
  <c r="AN82" i="1"/>
  <c r="AN86" i="1"/>
  <c r="AN87" i="1"/>
  <c r="AN94" i="1"/>
  <c r="AN95" i="1"/>
  <c r="AN98" i="1"/>
  <c r="AN102" i="1"/>
  <c r="AN105" i="1"/>
  <c r="AN106" i="1"/>
  <c r="AN107" i="1"/>
  <c r="AN108" i="1"/>
  <c r="AN112" i="1"/>
  <c r="AN113" i="1"/>
  <c r="AN114" i="1"/>
  <c r="AN115" i="1"/>
  <c r="AN118" i="1"/>
  <c r="AN119" i="1"/>
  <c r="AN120" i="1"/>
  <c r="AN123" i="1"/>
  <c r="AN124" i="1"/>
  <c r="AN125" i="1"/>
  <c r="AN126" i="1"/>
  <c r="AN130" i="1"/>
  <c r="AN131" i="1"/>
  <c r="AN132" i="1"/>
  <c r="AN133" i="1"/>
  <c r="AN134" i="1"/>
  <c r="AN136" i="1"/>
  <c r="AN137" i="1"/>
  <c r="AN138" i="1"/>
  <c r="AN139" i="1"/>
  <c r="AN140" i="1"/>
  <c r="AN145" i="1"/>
  <c r="AN146" i="1"/>
  <c r="AN147" i="1"/>
  <c r="AN152" i="1"/>
  <c r="AN153" i="1"/>
  <c r="AN154" i="1"/>
  <c r="AN155" i="1"/>
  <c r="AN156" i="1"/>
  <c r="AN157" i="1"/>
  <c r="AN158" i="1"/>
  <c r="AN159" i="1"/>
  <c r="AN160" i="1"/>
  <c r="AN161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90" i="1"/>
  <c r="AN191" i="1"/>
  <c r="AN192" i="1"/>
  <c r="AN193" i="1"/>
  <c r="AN194" i="1"/>
  <c r="AN195" i="1"/>
  <c r="AN196" i="1"/>
  <c r="AN197" i="1"/>
  <c r="AN199" i="1"/>
  <c r="AN200" i="1"/>
  <c r="AN202" i="1"/>
  <c r="AN206" i="1"/>
  <c r="AN207" i="1"/>
  <c r="AN209" i="1"/>
  <c r="AN212" i="1"/>
  <c r="AN213" i="1"/>
  <c r="AN217" i="1"/>
  <c r="AN219" i="1"/>
  <c r="AN222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60" i="1"/>
  <c r="AN270" i="1"/>
  <c r="AN310" i="1"/>
  <c r="AN319" i="1"/>
  <c r="AN320" i="1"/>
  <c r="AN323" i="1"/>
  <c r="AN324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9" i="1"/>
  <c r="AN361" i="1"/>
  <c r="AN363" i="1"/>
  <c r="AN365" i="1"/>
  <c r="AN367" i="1"/>
  <c r="AN368" i="1"/>
  <c r="AN369" i="1"/>
  <c r="AN371" i="1"/>
  <c r="AN373" i="1"/>
  <c r="AN375" i="1"/>
  <c r="AN377" i="1"/>
  <c r="AN379" i="1"/>
  <c r="AN380" i="1"/>
  <c r="AN382" i="1"/>
  <c r="AN383" i="1"/>
  <c r="AN387" i="1"/>
  <c r="AN388" i="1"/>
  <c r="AN389" i="1"/>
  <c r="AN390" i="1"/>
  <c r="AN391" i="1"/>
  <c r="AN392" i="1"/>
  <c r="AN393" i="1"/>
  <c r="AN394" i="1"/>
  <c r="AN397" i="1"/>
  <c r="AN398" i="1"/>
  <c r="AN399" i="1"/>
  <c r="AN400" i="1"/>
  <c r="AN402" i="1"/>
  <c r="AN403" i="1"/>
  <c r="AN409" i="1"/>
  <c r="AN410" i="1"/>
  <c r="AN411" i="1"/>
  <c r="AN412" i="1"/>
  <c r="AN405" i="1"/>
  <c r="AN406" i="1"/>
  <c r="AN407" i="1"/>
  <c r="AN408" i="1"/>
  <c r="AN413" i="1"/>
  <c r="AN414" i="1"/>
  <c r="AN418" i="1"/>
  <c r="AN419" i="1"/>
  <c r="AN436" i="1"/>
  <c r="AN437" i="1"/>
  <c r="AN438" i="1"/>
  <c r="AN439" i="1"/>
  <c r="AN440" i="1"/>
  <c r="AN441" i="1"/>
  <c r="AN442" i="1"/>
  <c r="AN443" i="1"/>
  <c r="AN446" i="1"/>
  <c r="AN448" i="1"/>
  <c r="AN456" i="1"/>
  <c r="AN465" i="1"/>
  <c r="AN466" i="1"/>
  <c r="AN468" i="1"/>
  <c r="AN473" i="1"/>
  <c r="AN475" i="1"/>
  <c r="AN470" i="1"/>
  <c r="AN471" i="1"/>
  <c r="AN480" i="1"/>
  <c r="AN486" i="1"/>
  <c r="AN488" i="1"/>
  <c r="AN489" i="1"/>
  <c r="AN490" i="1"/>
  <c r="AN564" i="1"/>
  <c r="AN493" i="1"/>
  <c r="AN494" i="1"/>
  <c r="AN498" i="1"/>
  <c r="AN504" i="1"/>
  <c r="AN505" i="1"/>
  <c r="AN506" i="1"/>
  <c r="AN513" i="1"/>
  <c r="AN568" i="1"/>
  <c r="AN569" i="1"/>
  <c r="AN521" i="1"/>
  <c r="AN522" i="1"/>
  <c r="AN517" i="1"/>
  <c r="AN523" i="1"/>
  <c r="AN537" i="1"/>
  <c r="AN539" i="1"/>
  <c r="AN538" i="1"/>
  <c r="AN542" i="1"/>
  <c r="AN543" i="1"/>
  <c r="AN14" i="1"/>
  <c r="AY27" i="1"/>
  <c r="O47" i="1"/>
  <c r="O48" i="1" s="1"/>
  <c r="BD29" i="1"/>
  <c r="BB29" i="1"/>
  <c r="AZ29" i="1"/>
  <c r="AR28" i="1"/>
  <c r="AS28" i="1"/>
  <c r="AT28" i="1"/>
  <c r="AU28" i="1"/>
  <c r="AW28" i="1"/>
  <c r="AV29" i="1"/>
  <c r="AV28" i="1" s="1"/>
  <c r="N516" i="1"/>
  <c r="P569" i="1"/>
  <c r="Q566" i="1"/>
  <c r="Q567" i="1" s="1"/>
  <c r="P566" i="1"/>
  <c r="O566" i="1"/>
  <c r="O567" i="1" s="1"/>
  <c r="W512" i="1"/>
  <c r="U512" i="1"/>
  <c r="W509" i="1"/>
  <c r="U509" i="1"/>
  <c r="W513" i="1"/>
  <c r="U513" i="1"/>
  <c r="AO496" i="1"/>
  <c r="AN496" i="1"/>
  <c r="AO63" i="1"/>
  <c r="AN63" i="1"/>
  <c r="AO75" i="1"/>
  <c r="AN75" i="1"/>
  <c r="AO99" i="1"/>
  <c r="AN99" i="1"/>
  <c r="AO51" i="1"/>
  <c r="AN51" i="1"/>
  <c r="AO83" i="1"/>
  <c r="AN83" i="1"/>
  <c r="AO90" i="1"/>
  <c r="AN90" i="1"/>
  <c r="AO91" i="1"/>
  <c r="AN91" i="1"/>
  <c r="AO103" i="1"/>
  <c r="AN103" i="1"/>
  <c r="V564" i="1"/>
  <c r="V500" i="1" s="1"/>
  <c r="W500" i="1" s="1"/>
  <c r="T564" i="1"/>
  <c r="T472" i="1" s="1"/>
  <c r="S564" i="1"/>
  <c r="S500" i="1" s="1"/>
  <c r="P564" i="1"/>
  <c r="Q564" i="1"/>
  <c r="R564" i="1"/>
  <c r="R500" i="1" s="1"/>
  <c r="O486" i="1"/>
  <c r="L472" i="1"/>
  <c r="S466" i="1"/>
  <c r="T466" i="1"/>
  <c r="U466" i="1" s="1"/>
  <c r="V466" i="1"/>
  <c r="W466" i="1" s="1"/>
  <c r="R466" i="1"/>
  <c r="Q466" i="1"/>
  <c r="P466" i="1" s="1"/>
  <c r="P460" i="1"/>
  <c r="Q460" i="1"/>
  <c r="P464" i="1"/>
  <c r="O464" i="1"/>
  <c r="R406" i="1"/>
  <c r="R408" i="1" s="1"/>
  <c r="R400" i="1"/>
  <c r="R412" i="1" s="1"/>
  <c r="R399" i="1"/>
  <c r="R411" i="1" s="1"/>
  <c r="R397" i="1"/>
  <c r="R409" i="1" s="1"/>
  <c r="S412" i="1"/>
  <c r="T412" i="1"/>
  <c r="V412" i="1"/>
  <c r="N390" i="1"/>
  <c r="O390" i="1"/>
  <c r="N411" i="1"/>
  <c r="O411" i="1"/>
  <c r="P411" i="1"/>
  <c r="Q411" i="1"/>
  <c r="N412" i="1"/>
  <c r="O412" i="1"/>
  <c r="P412" i="1"/>
  <c r="Q412" i="1"/>
  <c r="M411" i="1"/>
  <c r="M412" i="1"/>
  <c r="Q127" i="1"/>
  <c r="Q129" i="1"/>
  <c r="R129" i="1"/>
  <c r="S129" i="1"/>
  <c r="T129" i="1"/>
  <c r="P129" i="1"/>
  <c r="P127" i="1"/>
  <c r="T122" i="1"/>
  <c r="V122" i="1"/>
  <c r="O34" i="1"/>
  <c r="P35" i="1" s="1"/>
  <c r="BA27" i="1"/>
  <c r="BC27" i="1"/>
  <c r="M37" i="1"/>
  <c r="N37" i="1"/>
  <c r="O37" i="1"/>
  <c r="P37" i="1"/>
  <c r="Q37" i="1"/>
  <c r="N44" i="1"/>
  <c r="N36" i="1" s="1"/>
  <c r="O44" i="1"/>
  <c r="O36" i="1" s="1"/>
  <c r="M44" i="1"/>
  <c r="M36" i="1" s="1"/>
  <c r="R516" i="1"/>
  <c r="V411" i="1"/>
  <c r="T143" i="1"/>
  <c r="S143" i="1"/>
  <c r="R143" i="1"/>
  <c r="P337" i="1"/>
  <c r="Q337" i="1" s="1"/>
  <c r="M116" i="1"/>
  <c r="O515" i="1"/>
  <c r="O569" i="1"/>
  <c r="N465" i="1"/>
  <c r="N470" i="1"/>
  <c r="M470" i="1"/>
  <c r="O470" i="1"/>
  <c r="P143" i="1"/>
  <c r="Q143" i="1"/>
  <c r="N143" i="1"/>
  <c r="N517" i="1"/>
  <c r="M517" i="1"/>
  <c r="M516" i="1"/>
  <c r="N515" i="1"/>
  <c r="N569" i="1"/>
  <c r="M569" i="1"/>
  <c r="M495" i="1"/>
  <c r="N495" i="1"/>
  <c r="M498" i="1"/>
  <c r="N564" i="1"/>
  <c r="N500" i="1" s="1"/>
  <c r="O487" i="1"/>
  <c r="O488" i="1"/>
  <c r="O489" i="1"/>
  <c r="N497" i="1"/>
  <c r="O497" i="1"/>
  <c r="P497" i="1"/>
  <c r="Q497" i="1"/>
  <c r="M497" i="1"/>
  <c r="P333" i="1"/>
  <c r="P369" i="1" s="1"/>
  <c r="N144" i="1"/>
  <c r="O144" i="1"/>
  <c r="P144" i="1"/>
  <c r="M144" i="1"/>
  <c r="L36" i="1"/>
  <c r="L37" i="1"/>
  <c r="M15" i="1"/>
  <c r="N15" i="1"/>
  <c r="O15" i="1"/>
  <c r="P15" i="1"/>
  <c r="Q15" i="1"/>
  <c r="L15" i="1"/>
  <c r="L144" i="1"/>
  <c r="O537" i="1"/>
  <c r="O539" i="1"/>
  <c r="AO497" i="1"/>
  <c r="AN497" i="1"/>
  <c r="AO162" i="1"/>
  <c r="AN162" i="1"/>
  <c r="AO463" i="1"/>
  <c r="AN463" i="1"/>
  <c r="AO214" i="1"/>
  <c r="AN214" i="1"/>
  <c r="AO269" i="1"/>
  <c r="AN269" i="1"/>
  <c r="AN384" i="1"/>
  <c r="T471" i="1"/>
  <c r="U471" i="1" s="1"/>
  <c r="P489" i="1"/>
  <c r="AO479" i="1" s="1"/>
  <c r="P487" i="1"/>
  <c r="AO477" i="1" s="1"/>
  <c r="P490" i="1"/>
  <c r="AO469" i="1" s="1"/>
  <c r="P488" i="1"/>
  <c r="AO478" i="1" s="1"/>
  <c r="T411" i="1"/>
  <c r="S411" i="1"/>
  <c r="S506" i="1"/>
  <c r="AO495" i="1"/>
  <c r="AO474" i="1"/>
  <c r="AN474" i="1"/>
  <c r="AO315" i="1"/>
  <c r="AN315" i="1"/>
  <c r="AO216" i="1"/>
  <c r="AN216" i="1"/>
  <c r="P457" i="1"/>
  <c r="P477" i="1" s="1"/>
  <c r="P473" i="1" s="1"/>
  <c r="AN455" i="1" s="1"/>
  <c r="AN220" i="1"/>
  <c r="AO220" i="1"/>
  <c r="M105" i="1"/>
  <c r="S122" i="1"/>
  <c r="R67" i="1"/>
  <c r="R68" i="1" s="1"/>
  <c r="Q68" i="1"/>
  <c r="Q35" i="1"/>
  <c r="S51" i="1"/>
  <c r="S52" i="1" s="1"/>
  <c r="R52" i="1"/>
  <c r="Q57" i="1"/>
  <c r="AO57" i="1" s="1"/>
  <c r="R35" i="1"/>
  <c r="Q472" i="1"/>
  <c r="AN516" i="1"/>
  <c r="N328" i="1"/>
  <c r="N391" i="1" s="1"/>
  <c r="N393" i="1" s="1"/>
  <c r="N402" i="1" s="1"/>
  <c r="L328" i="1"/>
  <c r="L391" i="1" s="1"/>
  <c r="L393" i="1" s="1"/>
  <c r="L402" i="1" s="1"/>
  <c r="AN34" i="1"/>
  <c r="AN469" i="1"/>
  <c r="N376" i="1"/>
  <c r="S116" i="1"/>
  <c r="S205" i="1"/>
  <c r="S201" i="1" s="1"/>
  <c r="AN385" i="1"/>
  <c r="AN208" i="1"/>
  <c r="AN514" i="1"/>
  <c r="AN215" i="1"/>
  <c r="AO221" i="1"/>
  <c r="AN218" i="1"/>
  <c r="AN85" i="1"/>
  <c r="AN515" i="1"/>
  <c r="AN457" i="1"/>
  <c r="AO116" i="1"/>
  <c r="O372" i="1"/>
  <c r="AN53" i="1"/>
  <c r="AN423" i="1"/>
  <c r="AN135" i="1"/>
  <c r="AO58" i="1"/>
  <c r="O386" i="1"/>
  <c r="AN44" i="1"/>
  <c r="O382" i="1"/>
  <c r="O338" i="1"/>
  <c r="Q340" i="1"/>
  <c r="Q390" i="1"/>
  <c r="AN378" i="1" s="1"/>
  <c r="AO205" i="1"/>
  <c r="O340" i="1"/>
  <c r="V567" i="1"/>
  <c r="W567" i="1" s="1"/>
  <c r="AN485" i="1"/>
  <c r="AN67" i="1"/>
  <c r="AN148" i="1"/>
  <c r="AO65" i="1"/>
  <c r="AO77" i="1"/>
  <c r="N384" i="1"/>
  <c r="AN512" i="1"/>
  <c r="X567" i="1"/>
  <c r="Y567" i="1" s="1"/>
  <c r="AO34" i="1"/>
  <c r="AO44" i="1"/>
  <c r="AN97" i="1"/>
  <c r="AN101" i="1"/>
  <c r="AO567" i="1"/>
  <c r="AN566" i="1"/>
  <c r="Q386" i="1"/>
  <c r="AO374" i="1" s="1"/>
  <c r="Q378" i="1"/>
  <c r="N334" i="1"/>
  <c r="Q372" i="1"/>
  <c r="P486" i="1"/>
  <c r="AN476" i="1" s="1"/>
  <c r="N340" i="1"/>
  <c r="AN110" i="1"/>
  <c r="AO516" i="1"/>
  <c r="T567" i="1"/>
  <c r="U567" i="1" s="1"/>
  <c r="AO67" i="1"/>
  <c r="AO509" i="1"/>
  <c r="AO215" i="1"/>
  <c r="AO218" i="1"/>
  <c r="AO208" i="1"/>
  <c r="AN65" i="1"/>
  <c r="AN77" i="1"/>
  <c r="AO85" i="1"/>
  <c r="S93" i="1"/>
  <c r="S101" i="1"/>
  <c r="T101" i="1" s="1"/>
  <c r="U101" i="1" s="1"/>
  <c r="AO135" i="1"/>
  <c r="AO423" i="1"/>
  <c r="AN221" i="1"/>
  <c r="AN567" i="1"/>
  <c r="AO566" i="1"/>
  <c r="AO515" i="1"/>
  <c r="AO457" i="1"/>
  <c r="AN116" i="1"/>
  <c r="O388" i="1"/>
  <c r="O384" i="1"/>
  <c r="M378" i="1"/>
  <c r="AN205" i="1"/>
  <c r="AO110" i="1"/>
  <c r="T470" i="1"/>
  <c r="T469" i="1" s="1"/>
  <c r="O465" i="1"/>
  <c r="AO127" i="1"/>
  <c r="AO451" i="1"/>
  <c r="AN55" i="1"/>
  <c r="AN518" i="1"/>
  <c r="AO148" i="1"/>
  <c r="AO101" i="1"/>
  <c r="R149" i="1"/>
  <c r="AA420" i="1"/>
  <c r="AO563" i="1"/>
  <c r="AO518" i="1"/>
  <c r="AO501" i="1"/>
  <c r="AO502" i="1"/>
  <c r="R208" i="1"/>
  <c r="R207" i="1" s="1"/>
  <c r="N149" i="1"/>
  <c r="T53" i="1"/>
  <c r="U53" i="1" s="1"/>
  <c r="S85" i="1"/>
  <c r="AN451" i="1"/>
  <c r="AN501" i="1"/>
  <c r="P149" i="1"/>
  <c r="X149" i="1"/>
  <c r="Y149" i="1" s="1"/>
  <c r="Q323" i="1"/>
  <c r="P338" i="1"/>
  <c r="AO472" i="1"/>
  <c r="T149" i="1"/>
  <c r="U149" i="1" s="1"/>
  <c r="T112" i="1"/>
  <c r="T205" i="1" s="1"/>
  <c r="V323" i="1"/>
  <c r="W323" i="1" s="1"/>
  <c r="S65" i="1"/>
  <c r="T65" i="1" s="1"/>
  <c r="Q69" i="1"/>
  <c r="AO69" i="1" s="1"/>
  <c r="S77" i="1"/>
  <c r="T77" i="1" s="1"/>
  <c r="U77" i="1" s="1"/>
  <c r="L31" i="1"/>
  <c r="AN499" i="1"/>
  <c r="AN502" i="1"/>
  <c r="M465" i="1"/>
  <c r="M461" i="1" s="1"/>
  <c r="AO499" i="1"/>
  <c r="M31" i="1"/>
  <c r="R135" i="1"/>
  <c r="S135" i="1" s="1"/>
  <c r="S90" i="1"/>
  <c r="O490" i="1"/>
  <c r="AN127" i="1"/>
  <c r="AN396" i="1"/>
  <c r="N31" i="1"/>
  <c r="AT27" i="1" s="1"/>
  <c r="S44" i="1"/>
  <c r="S36" i="1" s="1"/>
  <c r="S472" i="1"/>
  <c r="W564" i="1"/>
  <c r="W15" i="1"/>
  <c r="P340" i="1"/>
  <c r="AO328" i="1" s="1"/>
  <c r="P378" i="1"/>
  <c r="T506" i="1"/>
  <c r="U506" i="1" s="1"/>
  <c r="M384" i="1"/>
  <c r="O376" i="1"/>
  <c r="O334" i="1"/>
  <c r="N388" i="1"/>
  <c r="N386" i="1"/>
  <c r="N382" i="1"/>
  <c r="N378" i="1"/>
  <c r="O374" i="1"/>
  <c r="N372" i="1"/>
  <c r="M338" i="1"/>
  <c r="O323" i="1"/>
  <c r="N374" i="1"/>
  <c r="N338" i="1"/>
  <c r="AN563" i="1"/>
  <c r="P567" i="1"/>
  <c r="O370" i="1"/>
  <c r="O330" i="1"/>
  <c r="N330" i="1"/>
  <c r="N323" i="1"/>
  <c r="R472" i="1"/>
  <c r="Y564" i="1"/>
  <c r="Y15" i="1"/>
  <c r="W457" i="1"/>
  <c r="M149" i="1"/>
  <c r="O149" i="1"/>
  <c r="Q149" i="1"/>
  <c r="S149" i="1"/>
  <c r="V149" i="1"/>
  <c r="W149" i="1" s="1"/>
  <c r="X150" i="1"/>
  <c r="V150" i="1"/>
  <c r="W150" i="1" s="1"/>
  <c r="T150" i="1"/>
  <c r="S110" i="1"/>
  <c r="S108" i="1" s="1"/>
  <c r="Q330" i="1"/>
  <c r="R373" i="1"/>
  <c r="S373" i="1" s="1"/>
  <c r="T373" i="1" s="1"/>
  <c r="V373" i="1" s="1"/>
  <c r="Y457" i="1"/>
  <c r="W475" i="1"/>
  <c r="Y475" i="1"/>
  <c r="T32" i="1"/>
  <c r="V32" i="1" s="1"/>
  <c r="W32" i="1" s="1"/>
  <c r="AN529" i="1"/>
  <c r="AO529" i="1"/>
  <c r="AN531" i="1"/>
  <c r="AO531" i="1"/>
  <c r="AN533" i="1"/>
  <c r="AO533" i="1"/>
  <c r="AB420" i="1"/>
  <c r="AB445" i="1" s="1"/>
  <c r="AA445" i="1"/>
  <c r="AE420" i="1"/>
  <c r="AE445" i="1" s="1"/>
  <c r="AD420" i="1"/>
  <c r="AC420" i="1"/>
  <c r="AC445" i="1" s="1"/>
  <c r="AO444" i="1"/>
  <c r="Z452" i="1"/>
  <c r="AN428" i="1"/>
  <c r="R390" i="1"/>
  <c r="S390" i="1" s="1"/>
  <c r="T390" i="1" s="1"/>
  <c r="V112" i="1"/>
  <c r="V205" i="1" s="1"/>
  <c r="V201" i="1" s="1"/>
  <c r="W201" i="1" s="1"/>
  <c r="AO512" i="1"/>
  <c r="AN509" i="1"/>
  <c r="AO428" i="1"/>
  <c r="T116" i="1"/>
  <c r="AN444" i="1"/>
  <c r="AO485" i="1"/>
  <c r="S208" i="1"/>
  <c r="AO378" i="1"/>
  <c r="S99" i="1"/>
  <c r="S100" i="1" s="1"/>
  <c r="U112" i="1"/>
  <c r="U116" i="1" s="1"/>
  <c r="AN472" i="1"/>
  <c r="S42" i="1"/>
  <c r="S43" i="1" s="1"/>
  <c r="T110" i="1"/>
  <c r="U110" i="1" s="1"/>
  <c r="AN535" i="1"/>
  <c r="AO535" i="1"/>
  <c r="AN69" i="1"/>
  <c r="T87" i="1"/>
  <c r="U87" i="1"/>
  <c r="W87" i="1" s="1"/>
  <c r="Y87" i="1" s="1"/>
  <c r="Y88" i="1" s="1"/>
  <c r="U32" i="1"/>
  <c r="R134" i="1"/>
  <c r="R127" i="1" s="1"/>
  <c r="R128" i="1"/>
  <c r="V151" i="1"/>
  <c r="W151" i="1" s="1"/>
  <c r="AN149" i="1"/>
  <c r="AN511" i="1"/>
  <c r="AO511" i="1"/>
  <c r="V506" i="1"/>
  <c r="W506" i="1" s="1"/>
  <c r="AN328" i="1"/>
  <c r="U150" i="1"/>
  <c r="AO507" i="1"/>
  <c r="AN507" i="1"/>
  <c r="V87" i="1"/>
  <c r="V88" i="1" s="1"/>
  <c r="AN420" i="1"/>
  <c r="AO420" i="1"/>
  <c r="X112" i="1"/>
  <c r="X205" i="1" s="1"/>
  <c r="V110" i="1"/>
  <c r="W110" i="1" s="1"/>
  <c r="AN303" i="1"/>
  <c r="AO303" i="1"/>
  <c r="AO306" i="1"/>
  <c r="AN306" i="1"/>
  <c r="AO302" i="1"/>
  <c r="AN302" i="1"/>
  <c r="AO304" i="1"/>
  <c r="AN304" i="1"/>
  <c r="AO271" i="1"/>
  <c r="AN271" i="1"/>
  <c r="AO309" i="1"/>
  <c r="AN309" i="1"/>
  <c r="AO317" i="1"/>
  <c r="AN317" i="1"/>
  <c r="AO314" i="1"/>
  <c r="AN314" i="1"/>
  <c r="AO312" i="1"/>
  <c r="AN312" i="1"/>
  <c r="AO300" i="1"/>
  <c r="AN300" i="1"/>
  <c r="AO318" i="1"/>
  <c r="AN318" i="1"/>
  <c r="AO316" i="1"/>
  <c r="AN316" i="1"/>
  <c r="AO313" i="1"/>
  <c r="AN313" i="1"/>
  <c r="AO311" i="1"/>
  <c r="AN311" i="1"/>
  <c r="AO223" i="1"/>
  <c r="AN223" i="1"/>
  <c r="R473" i="1"/>
  <c r="AO259" i="1"/>
  <c r="AN259" i="1"/>
  <c r="M274" i="1"/>
  <c r="N274" i="1" s="1"/>
  <c r="N303" i="1" s="1"/>
  <c r="M275" i="1"/>
  <c r="N275" i="1" s="1"/>
  <c r="M276" i="1"/>
  <c r="M305" i="1" s="1"/>
  <c r="M277" i="1"/>
  <c r="N277" i="1" s="1"/>
  <c r="O277" i="1" s="1"/>
  <c r="M278" i="1"/>
  <c r="N278" i="1" s="1"/>
  <c r="O278" i="1" s="1"/>
  <c r="M279" i="1"/>
  <c r="N279" i="1" s="1"/>
  <c r="M280" i="1"/>
  <c r="M309" i="1" s="1"/>
  <c r="M273" i="1"/>
  <c r="N273" i="1" s="1"/>
  <c r="N302" i="1" s="1"/>
  <c r="AN268" i="1"/>
  <c r="AO268" i="1"/>
  <c r="AO265" i="1"/>
  <c r="AN265" i="1"/>
  <c r="AN261" i="1"/>
  <c r="AO261" i="1"/>
  <c r="AO290" i="1"/>
  <c r="AN290" i="1"/>
  <c r="AO294" i="1"/>
  <c r="AN294" i="1"/>
  <c r="AO297" i="1"/>
  <c r="AN297" i="1"/>
  <c r="AO263" i="1"/>
  <c r="AN263" i="1"/>
  <c r="AN266" i="1"/>
  <c r="AO266" i="1"/>
  <c r="AN264" i="1"/>
  <c r="AO264" i="1"/>
  <c r="AO267" i="1"/>
  <c r="AN267" i="1"/>
  <c r="AN262" i="1"/>
  <c r="AO262" i="1"/>
  <c r="AN296" i="1"/>
  <c r="AO296" i="1"/>
  <c r="AN293" i="1"/>
  <c r="AO293" i="1"/>
  <c r="AN295" i="1"/>
  <c r="AO295" i="1"/>
  <c r="AN292" i="1"/>
  <c r="AO292" i="1"/>
  <c r="AN291" i="1"/>
  <c r="AO291" i="1"/>
  <c r="Q500" i="1"/>
  <c r="Q452" i="1" l="1"/>
  <c r="R142" i="1"/>
  <c r="AF141" i="1"/>
  <c r="N276" i="1"/>
  <c r="O276" i="1" s="1"/>
  <c r="O305" i="1" s="1"/>
  <c r="X506" i="1"/>
  <c r="Y506" i="1" s="1"/>
  <c r="AO476" i="1"/>
  <c r="AN374" i="1"/>
  <c r="O452" i="1"/>
  <c r="L320" i="1"/>
  <c r="N566" i="1"/>
  <c r="N567" i="1" s="1"/>
  <c r="Z141" i="1"/>
  <c r="O142" i="1"/>
  <c r="U325" i="1"/>
  <c r="W325" i="1" s="1"/>
  <c r="AN500" i="1"/>
  <c r="N306" i="1"/>
  <c r="W88" i="1"/>
  <c r="N35" i="1"/>
  <c r="AO93" i="1"/>
  <c r="AO97" i="1"/>
  <c r="L309" i="1"/>
  <c r="W320" i="1"/>
  <c r="M151" i="1"/>
  <c r="N307" i="1"/>
  <c r="AO149" i="1"/>
  <c r="M308" i="1"/>
  <c r="X151" i="1"/>
  <c r="Y151" i="1" s="1"/>
  <c r="AN325" i="1"/>
  <c r="AO325" i="1"/>
  <c r="Q338" i="1"/>
  <c r="AN326" i="1" s="1"/>
  <c r="O274" i="1"/>
  <c r="P274" i="1" s="1"/>
  <c r="X116" i="1"/>
  <c r="V77" i="1"/>
  <c r="W77" i="1" s="1"/>
  <c r="V116" i="1"/>
  <c r="S34" i="1"/>
  <c r="S35" i="1" s="1"/>
  <c r="T44" i="1"/>
  <c r="V44" i="1" s="1"/>
  <c r="V36" i="1" s="1"/>
  <c r="R378" i="1"/>
  <c r="S378" i="1" s="1"/>
  <c r="T378" i="1" s="1"/>
  <c r="V378" i="1" s="1"/>
  <c r="X378" i="1" s="1"/>
  <c r="AN478" i="1"/>
  <c r="Q333" i="1"/>
  <c r="AO321" i="1" s="1"/>
  <c r="AN58" i="1"/>
  <c r="N473" i="1"/>
  <c r="AC502" i="1"/>
  <c r="T151" i="1"/>
  <c r="U151" i="1" s="1"/>
  <c r="M307" i="1"/>
  <c r="AO15" i="1"/>
  <c r="AO143" i="1"/>
  <c r="AA502" i="1"/>
  <c r="N151" i="1"/>
  <c r="AO460" i="1"/>
  <c r="T135" i="1"/>
  <c r="V135" i="1" s="1"/>
  <c r="S128" i="1"/>
  <c r="S134" i="1"/>
  <c r="T201" i="1"/>
  <c r="U201" i="1" s="1"/>
  <c r="U205" i="1"/>
  <c r="O279" i="1"/>
  <c r="N308" i="1"/>
  <c r="AO36" i="1"/>
  <c r="AN36" i="1"/>
  <c r="U51" i="1"/>
  <c r="V53" i="1"/>
  <c r="W53" i="1" s="1"/>
  <c r="P151" i="1"/>
  <c r="N280" i="1"/>
  <c r="X87" i="1"/>
  <c r="X88" i="1" s="1"/>
  <c r="W112" i="1"/>
  <c r="W116" i="1" s="1"/>
  <c r="T51" i="1"/>
  <c r="S63" i="1"/>
  <c r="S64" i="1" s="1"/>
  <c r="X373" i="1"/>
  <c r="AO366" i="1"/>
  <c r="V471" i="1"/>
  <c r="W471" i="1" s="1"/>
  <c r="R386" i="1"/>
  <c r="S386" i="1" s="1"/>
  <c r="T386" i="1" s="1"/>
  <c r="V386" i="1" s="1"/>
  <c r="X386" i="1" s="1"/>
  <c r="AO129" i="1"/>
  <c r="AO396" i="1"/>
  <c r="AN395" i="1"/>
  <c r="P117" i="1"/>
  <c r="Q117" i="1" s="1"/>
  <c r="AO117" i="1" s="1"/>
  <c r="AO53" i="1"/>
  <c r="L473" i="1"/>
  <c r="AN458" i="1"/>
  <c r="X473" i="1"/>
  <c r="AO144" i="1"/>
  <c r="L304" i="1"/>
  <c r="S452" i="1"/>
  <c r="L452" i="1"/>
  <c r="AN427" i="1"/>
  <c r="L461" i="1"/>
  <c r="AN15" i="1"/>
  <c r="S69" i="1"/>
  <c r="S67" i="1" s="1"/>
  <c r="P461" i="1"/>
  <c r="N461" i="1"/>
  <c r="W217" i="1"/>
  <c r="Y217" i="1" s="1"/>
  <c r="P48" i="1"/>
  <c r="Y320" i="1"/>
  <c r="M304" i="1"/>
  <c r="Y473" i="1"/>
  <c r="AO37" i="1"/>
  <c r="AO503" i="1"/>
  <c r="AO150" i="1"/>
  <c r="N48" i="1"/>
  <c r="L302" i="1"/>
  <c r="R452" i="1"/>
  <c r="M564" i="1"/>
  <c r="M472" i="1" s="1"/>
  <c r="Q465" i="1"/>
  <c r="Q461" i="1" s="1"/>
  <c r="Q455" i="1" s="1"/>
  <c r="O564" i="1"/>
  <c r="O500" i="1" s="1"/>
  <c r="P277" i="1"/>
  <c r="P316" i="1" s="1"/>
  <c r="O306" i="1"/>
  <c r="S151" i="1"/>
  <c r="R151" i="1"/>
  <c r="O151" i="1"/>
  <c r="U65" i="1"/>
  <c r="V65" i="1"/>
  <c r="W65" i="1" s="1"/>
  <c r="U477" i="1"/>
  <c r="U473" i="1" s="1"/>
  <c r="T473" i="1"/>
  <c r="U469" i="1"/>
  <c r="W477" i="1"/>
  <c r="W473" i="1" s="1"/>
  <c r="V473" i="1"/>
  <c r="P328" i="1"/>
  <c r="P391" i="1" s="1"/>
  <c r="P393" i="1" s="1"/>
  <c r="P402" i="1" s="1"/>
  <c r="P370" i="1"/>
  <c r="T147" i="1"/>
  <c r="V147" i="1" s="1"/>
  <c r="X147" i="1" s="1"/>
  <c r="U147" i="1"/>
  <c r="W147" i="1" s="1"/>
  <c r="Y147" i="1" s="1"/>
  <c r="AN364" i="1"/>
  <c r="AO364" i="1"/>
  <c r="R376" i="1"/>
  <c r="AO500" i="1"/>
  <c r="O273" i="1"/>
  <c r="X110" i="1"/>
  <c r="Y110" i="1" s="1"/>
  <c r="W205" i="1"/>
  <c r="T208" i="1"/>
  <c r="R389" i="1"/>
  <c r="S389" i="1" s="1"/>
  <c r="T389" i="1" s="1"/>
  <c r="Y150" i="1"/>
  <c r="R340" i="1"/>
  <c r="S340" i="1" s="1"/>
  <c r="S91" i="1"/>
  <c r="AN366" i="1"/>
  <c r="Q151" i="1"/>
  <c r="U564" i="1"/>
  <c r="M340" i="1"/>
  <c r="M382" i="1"/>
  <c r="P372" i="1"/>
  <c r="R55" i="1"/>
  <c r="P31" i="1"/>
  <c r="AV27" i="1" s="1"/>
  <c r="AN143" i="1"/>
  <c r="Q47" i="1"/>
  <c r="P384" i="1"/>
  <c r="P334" i="1"/>
  <c r="S83" i="1"/>
  <c r="S84" i="1" s="1"/>
  <c r="O31" i="1"/>
  <c r="AU27" i="1" s="1"/>
  <c r="U470" i="1"/>
  <c r="V470" i="1" s="1"/>
  <c r="M334" i="1"/>
  <c r="AN150" i="1"/>
  <c r="AO458" i="1"/>
  <c r="T93" i="1"/>
  <c r="U93" i="1" s="1"/>
  <c r="M323" i="1"/>
  <c r="AN57" i="1"/>
  <c r="AN89" i="1"/>
  <c r="AO395" i="1"/>
  <c r="U457" i="1"/>
  <c r="Q56" i="1"/>
  <c r="N472" i="1"/>
  <c r="AN495" i="1"/>
  <c r="AN477" i="1"/>
  <c r="O35" i="1"/>
  <c r="P500" i="1"/>
  <c r="AN482" i="1" s="1"/>
  <c r="T500" i="1"/>
  <c r="U500" i="1" s="1"/>
  <c r="W214" i="1"/>
  <c r="Y214" i="1" s="1"/>
  <c r="U493" i="1"/>
  <c r="R507" i="1"/>
  <c r="W503" i="1"/>
  <c r="L306" i="1"/>
  <c r="M315" i="1"/>
  <c r="P326" i="1"/>
  <c r="T452" i="1"/>
  <c r="M452" i="1"/>
  <c r="N452" i="1"/>
  <c r="M566" i="1"/>
  <c r="M567" i="1" s="1"/>
  <c r="S211" i="1"/>
  <c r="M302" i="1"/>
  <c r="S207" i="1"/>
  <c r="U99" i="1"/>
  <c r="U100" i="1" s="1"/>
  <c r="P276" i="1"/>
  <c r="AO461" i="1"/>
  <c r="X32" i="1"/>
  <c r="Y32" i="1" s="1"/>
  <c r="T99" i="1"/>
  <c r="X471" i="1"/>
  <c r="Y471" i="1" s="1"/>
  <c r="V101" i="1"/>
  <c r="W101" i="1" s="1"/>
  <c r="T85" i="1"/>
  <c r="V493" i="1"/>
  <c r="AN503" i="1"/>
  <c r="M388" i="1"/>
  <c r="P382" i="1"/>
  <c r="S57" i="1"/>
  <c r="P330" i="1"/>
  <c r="AN37" i="1"/>
  <c r="AN129" i="1"/>
  <c r="Z566" i="1"/>
  <c r="S75" i="1"/>
  <c r="U75" i="1" s="1"/>
  <c r="P374" i="1"/>
  <c r="AO362" i="1" s="1"/>
  <c r="S97" i="1"/>
  <c r="P49" i="1"/>
  <c r="AN144" i="1"/>
  <c r="N370" i="1"/>
  <c r="M370" i="1"/>
  <c r="AN479" i="1"/>
  <c r="AN460" i="1"/>
  <c r="M330" i="1"/>
  <c r="O473" i="1"/>
  <c r="L308" i="1"/>
  <c r="L303" i="1"/>
  <c r="L313" i="1"/>
  <c r="X452" i="1"/>
  <c r="P452" i="1"/>
  <c r="AN445" i="1" s="1"/>
  <c r="U142" i="1"/>
  <c r="P142" i="1"/>
  <c r="X142" i="1"/>
  <c r="Y112" i="1"/>
  <c r="Y116" i="1" s="1"/>
  <c r="X44" i="1"/>
  <c r="Q334" i="1"/>
  <c r="AD445" i="1"/>
  <c r="M390" i="1"/>
  <c r="M372" i="1"/>
  <c r="M386" i="1"/>
  <c r="P388" i="1"/>
  <c r="P323" i="1"/>
  <c r="AN93" i="1"/>
  <c r="M374" i="1"/>
  <c r="W322" i="1"/>
  <c r="Y322" i="1" s="1"/>
  <c r="S473" i="1"/>
  <c r="V452" i="1"/>
  <c r="O308" i="1"/>
  <c r="P279" i="1"/>
  <c r="P318" i="1" s="1"/>
  <c r="P278" i="1"/>
  <c r="P317" i="1" s="1"/>
  <c r="O307" i="1"/>
  <c r="P303" i="1"/>
  <c r="Q274" i="1"/>
  <c r="Q313" i="1" s="1"/>
  <c r="O275" i="1"/>
  <c r="O314" i="1" s="1"/>
  <c r="N304" i="1"/>
  <c r="P306" i="1"/>
  <c r="Q277" i="1"/>
  <c r="Q316" i="1" s="1"/>
  <c r="U52" i="1"/>
  <c r="Y205" i="1"/>
  <c r="X201" i="1"/>
  <c r="Y201" i="1" s="1"/>
  <c r="S109" i="1"/>
  <c r="U108" i="1"/>
  <c r="T108" i="1"/>
  <c r="O466" i="1"/>
  <c r="N466" i="1" s="1"/>
  <c r="M466" i="1" s="1"/>
  <c r="P455" i="1"/>
  <c r="AO287" i="1"/>
  <c r="R299" i="1"/>
  <c r="S299" i="1" s="1"/>
  <c r="T299" i="1" s="1"/>
  <c r="V299" i="1" s="1"/>
  <c r="X299" i="1" s="1"/>
  <c r="AN287" i="1"/>
  <c r="AO285" i="1"/>
  <c r="AN285" i="1"/>
  <c r="R297" i="1"/>
  <c r="S297" i="1" s="1"/>
  <c r="T297" i="1" s="1"/>
  <c r="U297" i="1" s="1"/>
  <c r="V297" i="1" s="1"/>
  <c r="W297" i="1" s="1"/>
  <c r="X297" i="1" s="1"/>
  <c r="Y297" i="1" s="1"/>
  <c r="N455" i="1"/>
  <c r="W220" i="1"/>
  <c r="Y220" i="1" s="1"/>
  <c r="N313" i="1"/>
  <c r="V160" i="1"/>
  <c r="U160" i="1"/>
  <c r="V498" i="1"/>
  <c r="U498" i="1"/>
  <c r="V390" i="1"/>
  <c r="X390" i="1" s="1"/>
  <c r="V162" i="1"/>
  <c r="U162" i="1"/>
  <c r="AN201" i="1"/>
  <c r="AO201" i="1"/>
  <c r="R298" i="1"/>
  <c r="S298" i="1" s="1"/>
  <c r="T298" i="1" s="1"/>
  <c r="U298" i="1" s="1"/>
  <c r="V298" i="1" s="1"/>
  <c r="W298" i="1" s="1"/>
  <c r="X298" i="1" s="1"/>
  <c r="Y298" i="1" s="1"/>
  <c r="AN286" i="1"/>
  <c r="AO286" i="1"/>
  <c r="AO283" i="1"/>
  <c r="AN283" i="1"/>
  <c r="R295" i="1"/>
  <c r="S295" i="1" s="1"/>
  <c r="T295" i="1" s="1"/>
  <c r="U295" i="1" s="1"/>
  <c r="V295" i="1" s="1"/>
  <c r="W295" i="1" s="1"/>
  <c r="X295" i="1" s="1"/>
  <c r="Y295" i="1" s="1"/>
  <c r="AB502" i="1"/>
  <c r="U503" i="1"/>
  <c r="U561" i="1"/>
  <c r="U463" i="1" s="1"/>
  <c r="V561" i="1"/>
  <c r="T463" i="1"/>
  <c r="N305" i="1"/>
  <c r="M306" i="1"/>
  <c r="AO455" i="1"/>
  <c r="U168" i="1"/>
  <c r="V168" i="1"/>
  <c r="S88" i="1"/>
  <c r="R88" i="1"/>
  <c r="R47" i="1"/>
  <c r="T88" i="1"/>
  <c r="U88" i="1"/>
  <c r="P122" i="1"/>
  <c r="P121" i="1" s="1"/>
  <c r="Q121" i="1" s="1"/>
  <c r="AN111" i="1"/>
  <c r="AO111" i="1"/>
  <c r="AN128" i="1"/>
  <c r="AO128" i="1"/>
  <c r="O393" i="1"/>
  <c r="O402" i="1" s="1"/>
  <c r="U563" i="1"/>
  <c r="U481" i="1" s="1"/>
  <c r="T481" i="1"/>
  <c r="V563" i="1"/>
  <c r="S464" i="1"/>
  <c r="R296" i="1"/>
  <c r="S296" i="1" s="1"/>
  <c r="T296" i="1" s="1"/>
  <c r="U296" i="1" s="1"/>
  <c r="V296" i="1" s="1"/>
  <c r="W296" i="1" s="1"/>
  <c r="X296" i="1" s="1"/>
  <c r="Y296" i="1" s="1"/>
  <c r="AN284" i="1"/>
  <c r="AO284" i="1"/>
  <c r="AN281" i="1"/>
  <c r="AO281" i="1"/>
  <c r="R293" i="1"/>
  <c r="S293" i="1" s="1"/>
  <c r="T293" i="1" s="1"/>
  <c r="U293" i="1" s="1"/>
  <c r="V293" i="1" s="1"/>
  <c r="W293" i="1" s="1"/>
  <c r="X293" i="1" s="1"/>
  <c r="Y293" i="1" s="1"/>
  <c r="Y503" i="1"/>
  <c r="AD502" i="1"/>
  <c r="S533" i="1"/>
  <c r="V531" i="1"/>
  <c r="U531" i="1"/>
  <c r="M303" i="1"/>
  <c r="AN461" i="1"/>
  <c r="R294" i="1"/>
  <c r="S294" i="1" s="1"/>
  <c r="T294" i="1" s="1"/>
  <c r="U294" i="1" s="1"/>
  <c r="V294" i="1" s="1"/>
  <c r="W294" i="1" s="1"/>
  <c r="X294" i="1" s="1"/>
  <c r="Y294" i="1" s="1"/>
  <c r="AN282" i="1"/>
  <c r="AO282" i="1"/>
  <c r="O312" i="1"/>
  <c r="Q320" i="1"/>
  <c r="S532" i="1"/>
  <c r="U210" i="1"/>
  <c r="W210" i="1" s="1"/>
  <c r="L318" i="1"/>
  <c r="L314" i="1"/>
  <c r="O318" i="1"/>
  <c r="M316" i="1"/>
  <c r="N315" i="1"/>
  <c r="O313" i="1"/>
  <c r="L307" i="1"/>
  <c r="O320" i="1"/>
  <c r="O463" i="1"/>
  <c r="O461" i="1" s="1"/>
  <c r="L312" i="1"/>
  <c r="L315" i="1"/>
  <c r="M317" i="1"/>
  <c r="N316" i="1"/>
  <c r="O315" i="1"/>
  <c r="P313" i="1"/>
  <c r="M312" i="1"/>
  <c r="L316" i="1"/>
  <c r="M318" i="1"/>
  <c r="N317" i="1"/>
  <c r="O316" i="1"/>
  <c r="P315" i="1"/>
  <c r="M314" i="1"/>
  <c r="M313" i="1"/>
  <c r="N312" i="1"/>
  <c r="L317" i="1"/>
  <c r="N318" i="1"/>
  <c r="O317" i="1"/>
  <c r="N314" i="1"/>
  <c r="AO326" i="1" l="1"/>
  <c r="W44" i="1"/>
  <c r="W36" i="1" s="1"/>
  <c r="W51" i="1"/>
  <c r="R385" i="1"/>
  <c r="AO445" i="1"/>
  <c r="U369" i="1"/>
  <c r="U328" i="1" s="1"/>
  <c r="U391" i="1" s="1"/>
  <c r="T36" i="1"/>
  <c r="R338" i="1"/>
  <c r="R337" i="1" s="1"/>
  <c r="U63" i="1"/>
  <c r="O472" i="1"/>
  <c r="O303" i="1"/>
  <c r="O455" i="1"/>
  <c r="M500" i="1"/>
  <c r="T63" i="1"/>
  <c r="T64" i="1" s="1"/>
  <c r="R377" i="1"/>
  <c r="W135" i="1"/>
  <c r="W128" i="1" s="1"/>
  <c r="X135" i="1"/>
  <c r="Y135" i="1" s="1"/>
  <c r="Y128" i="1" s="1"/>
  <c r="T69" i="1"/>
  <c r="U69" i="1" s="1"/>
  <c r="T207" i="1"/>
  <c r="X101" i="1"/>
  <c r="Y101" i="1" s="1"/>
  <c r="V389" i="1"/>
  <c r="U67" i="1"/>
  <c r="S385" i="1"/>
  <c r="Q369" i="1"/>
  <c r="AN321" i="1"/>
  <c r="AN117" i="1"/>
  <c r="U44" i="1"/>
  <c r="X77" i="1"/>
  <c r="Y77" i="1" s="1"/>
  <c r="R334" i="1"/>
  <c r="R333" i="1" s="1"/>
  <c r="T42" i="1"/>
  <c r="W470" i="1"/>
  <c r="V469" i="1"/>
  <c r="W469" i="1" s="1"/>
  <c r="T128" i="1"/>
  <c r="U135" i="1"/>
  <c r="U128" i="1" s="1"/>
  <c r="W99" i="1"/>
  <c r="V93" i="1"/>
  <c r="W93" i="1" s="1"/>
  <c r="X65" i="1"/>
  <c r="Y65" i="1" s="1"/>
  <c r="X53" i="1"/>
  <c r="Y53" i="1" s="1"/>
  <c r="V128" i="1"/>
  <c r="T52" i="1"/>
  <c r="V51" i="1"/>
  <c r="O280" i="1"/>
  <c r="N309" i="1"/>
  <c r="S127" i="1"/>
  <c r="T134" i="1"/>
  <c r="T127" i="1" s="1"/>
  <c r="U76" i="1"/>
  <c r="W75" i="1"/>
  <c r="V99" i="1"/>
  <c r="T100" i="1"/>
  <c r="Q479" i="1"/>
  <c r="Q468" i="1"/>
  <c r="T211" i="1"/>
  <c r="R117" i="1"/>
  <c r="S117" i="1" s="1"/>
  <c r="T117" i="1" s="1"/>
  <c r="U211" i="1"/>
  <c r="W211" i="1" s="1"/>
  <c r="Y211" i="1" s="1"/>
  <c r="AN362" i="1"/>
  <c r="X36" i="1"/>
  <c r="Y44" i="1"/>
  <c r="Y36" i="1" s="1"/>
  <c r="T97" i="1"/>
  <c r="U97" i="1" s="1"/>
  <c r="S95" i="1"/>
  <c r="AN370" i="1"/>
  <c r="AO370" i="1"/>
  <c r="T83" i="1"/>
  <c r="U85" i="1"/>
  <c r="U83" i="1" s="1"/>
  <c r="AO47" i="1"/>
  <c r="Q49" i="1"/>
  <c r="Q48" i="1"/>
  <c r="Q31" i="1"/>
  <c r="AN47" i="1"/>
  <c r="R372" i="1"/>
  <c r="S372" i="1" s="1"/>
  <c r="AO360" i="1"/>
  <c r="AN360" i="1"/>
  <c r="AN151" i="1"/>
  <c r="AO151" i="1"/>
  <c r="S92" i="1"/>
  <c r="T91" i="1"/>
  <c r="P273" i="1"/>
  <c r="O302" i="1"/>
  <c r="R375" i="1"/>
  <c r="Y325" i="1"/>
  <c r="Y369" i="1" s="1"/>
  <c r="Y328" i="1" s="1"/>
  <c r="Y391" i="1" s="1"/>
  <c r="W369" i="1"/>
  <c r="W328" i="1" s="1"/>
  <c r="W391" i="1" s="1"/>
  <c r="S68" i="1"/>
  <c r="V63" i="1"/>
  <c r="T385" i="1"/>
  <c r="V385" i="1" s="1"/>
  <c r="X385" i="1" s="1"/>
  <c r="AN322" i="1"/>
  <c r="AO322" i="1"/>
  <c r="W493" i="1"/>
  <c r="W472" i="1" s="1"/>
  <c r="V472" i="1"/>
  <c r="Q276" i="1"/>
  <c r="P305" i="1"/>
  <c r="P493" i="1"/>
  <c r="AO482" i="1"/>
  <c r="AN372" i="1"/>
  <c r="AO372" i="1"/>
  <c r="R384" i="1"/>
  <c r="R56" i="1"/>
  <c r="S55" i="1"/>
  <c r="V208" i="1"/>
  <c r="V207" i="1" s="1"/>
  <c r="U208" i="1"/>
  <c r="U207" i="1" s="1"/>
  <c r="U68" i="1"/>
  <c r="U91" i="1"/>
  <c r="X470" i="1"/>
  <c r="U472" i="1"/>
  <c r="R382" i="1"/>
  <c r="S382" i="1" s="1"/>
  <c r="X493" i="1"/>
  <c r="V85" i="1"/>
  <c r="W85" i="1" s="1"/>
  <c r="R388" i="1"/>
  <c r="S388" i="1" s="1"/>
  <c r="AO376" i="1"/>
  <c r="AN376" i="1"/>
  <c r="S76" i="1"/>
  <c r="T75" i="1"/>
  <c r="R330" i="1"/>
  <c r="R465" i="1"/>
  <c r="R461" i="1" s="1"/>
  <c r="R455" i="1" s="1"/>
  <c r="R479" i="1" s="1"/>
  <c r="S507" i="1"/>
  <c r="T340" i="1"/>
  <c r="V340" i="1" s="1"/>
  <c r="R339" i="1"/>
  <c r="S339" i="1" s="1"/>
  <c r="U64" i="1"/>
  <c r="W63" i="1"/>
  <c r="W64" i="1" s="1"/>
  <c r="S334" i="1"/>
  <c r="S333" i="1" s="1"/>
  <c r="X93" i="1"/>
  <c r="Y93" i="1" s="1"/>
  <c r="S376" i="1"/>
  <c r="T376" i="1" s="1"/>
  <c r="V376" i="1" s="1"/>
  <c r="V69" i="1"/>
  <c r="W69" i="1" s="1"/>
  <c r="W67" i="1" s="1"/>
  <c r="T57" i="1"/>
  <c r="U57" i="1" s="1"/>
  <c r="S377" i="1"/>
  <c r="T377" i="1" s="1"/>
  <c r="V377" i="1" s="1"/>
  <c r="X377" i="1" s="1"/>
  <c r="T532" i="1"/>
  <c r="W531" i="1"/>
  <c r="X531" i="1"/>
  <c r="Y531" i="1" s="1"/>
  <c r="T464" i="1"/>
  <c r="X168" i="1"/>
  <c r="Y168" i="1" s="1"/>
  <c r="W168" i="1"/>
  <c r="T109" i="1"/>
  <c r="V108" i="1"/>
  <c r="W52" i="1"/>
  <c r="Y51" i="1"/>
  <c r="O304" i="1"/>
  <c r="P275" i="1"/>
  <c r="AO122" i="1"/>
  <c r="W76" i="1"/>
  <c r="W561" i="1"/>
  <c r="W463" i="1" s="1"/>
  <c r="V463" i="1"/>
  <c r="X561" i="1"/>
  <c r="X498" i="1"/>
  <c r="Y498" i="1" s="1"/>
  <c r="W498" i="1"/>
  <c r="N468" i="1"/>
  <c r="N479" i="1"/>
  <c r="L466" i="1"/>
  <c r="L455" i="1" s="1"/>
  <c r="M455" i="1"/>
  <c r="Q279" i="1"/>
  <c r="P308" i="1"/>
  <c r="O468" i="1"/>
  <c r="O467" i="1"/>
  <c r="O479" i="1"/>
  <c r="T533" i="1"/>
  <c r="R121" i="1"/>
  <c r="S121" i="1" s="1"/>
  <c r="T121" i="1" s="1"/>
  <c r="AO121" i="1"/>
  <c r="AN121" i="1"/>
  <c r="AN447" i="1"/>
  <c r="Q467" i="1"/>
  <c r="AO447" i="1"/>
  <c r="P479" i="1"/>
  <c r="P467" i="1"/>
  <c r="P468" i="1"/>
  <c r="P307" i="1"/>
  <c r="Q278" i="1"/>
  <c r="W563" i="1"/>
  <c r="W481" i="1" s="1"/>
  <c r="V481" i="1"/>
  <c r="X563" i="1"/>
  <c r="R48" i="1"/>
  <c r="R31" i="1"/>
  <c r="AX27" i="1" s="1"/>
  <c r="R49" i="1"/>
  <c r="V117" i="1"/>
  <c r="U117" i="1"/>
  <c r="W162" i="1"/>
  <c r="X162" i="1"/>
  <c r="Y162" i="1" s="1"/>
  <c r="X160" i="1"/>
  <c r="Y160" i="1" s="1"/>
  <c r="W160" i="1"/>
  <c r="W100" i="1"/>
  <c r="Y99" i="1"/>
  <c r="Y100" i="1" s="1"/>
  <c r="W108" i="1"/>
  <c r="U109" i="1"/>
  <c r="Q306" i="1"/>
  <c r="R277" i="1"/>
  <c r="Q303" i="1"/>
  <c r="R274" i="1"/>
  <c r="Y210" i="1"/>
  <c r="X389" i="1"/>
  <c r="AN122" i="1"/>
  <c r="S338" i="1" l="1"/>
  <c r="R467" i="1"/>
  <c r="Y75" i="1"/>
  <c r="Y76" i="1" s="1"/>
  <c r="X128" i="1"/>
  <c r="T67" i="1"/>
  <c r="U134" i="1"/>
  <c r="W134" i="1" s="1"/>
  <c r="R468" i="1"/>
  <c r="V57" i="1"/>
  <c r="W57" i="1" s="1"/>
  <c r="Q370" i="1"/>
  <c r="AO357" i="1"/>
  <c r="AN357" i="1"/>
  <c r="Q328" i="1"/>
  <c r="Q391" i="1" s="1"/>
  <c r="T43" i="1"/>
  <c r="T34" i="1"/>
  <c r="T35" i="1" s="1"/>
  <c r="V42" i="1"/>
  <c r="U36" i="1"/>
  <c r="U42" i="1"/>
  <c r="O309" i="1"/>
  <c r="P280" i="1"/>
  <c r="U55" i="1"/>
  <c r="W55" i="1" s="1"/>
  <c r="X85" i="1"/>
  <c r="Y85" i="1" s="1"/>
  <c r="V134" i="1"/>
  <c r="V52" i="1"/>
  <c r="X51" i="1"/>
  <c r="X52" i="1" s="1"/>
  <c r="W68" i="1"/>
  <c r="R329" i="1"/>
  <c r="V91" i="1"/>
  <c r="T92" i="1"/>
  <c r="U95" i="1"/>
  <c r="U96" i="1" s="1"/>
  <c r="S96" i="1"/>
  <c r="T95" i="1"/>
  <c r="S465" i="1"/>
  <c r="S461" i="1" s="1"/>
  <c r="S455" i="1" s="1"/>
  <c r="S467" i="1" s="1"/>
  <c r="T507" i="1"/>
  <c r="R381" i="1"/>
  <c r="S381" i="1" s="1"/>
  <c r="T382" i="1"/>
  <c r="V382" i="1" s="1"/>
  <c r="X382" i="1" s="1"/>
  <c r="T55" i="1"/>
  <c r="S47" i="1"/>
  <c r="S56" i="1"/>
  <c r="Q273" i="1"/>
  <c r="P302" i="1"/>
  <c r="P312" i="1"/>
  <c r="R371" i="1"/>
  <c r="S371" i="1" s="1"/>
  <c r="T372" i="1"/>
  <c r="V372" i="1" s="1"/>
  <c r="AN49" i="1"/>
  <c r="AO49" i="1"/>
  <c r="V100" i="1"/>
  <c r="X99" i="1"/>
  <c r="X100" i="1" s="1"/>
  <c r="T339" i="1"/>
  <c r="V339" i="1" s="1"/>
  <c r="T334" i="1"/>
  <c r="V334" i="1" s="1"/>
  <c r="X334" i="1" s="1"/>
  <c r="S330" i="1"/>
  <c r="T330" i="1" s="1"/>
  <c r="X340" i="1"/>
  <c r="V97" i="1"/>
  <c r="R387" i="1"/>
  <c r="S387" i="1" s="1"/>
  <c r="T388" i="1"/>
  <c r="V388" i="1" s="1"/>
  <c r="X388" i="1" s="1"/>
  <c r="U92" i="1"/>
  <c r="W91" i="1"/>
  <c r="X208" i="1"/>
  <c r="Y208" i="1" s="1"/>
  <c r="W208" i="1"/>
  <c r="W207" i="1" s="1"/>
  <c r="R383" i="1"/>
  <c r="AO487" i="1"/>
  <c r="AN487" i="1"/>
  <c r="P472" i="1"/>
  <c r="V64" i="1"/>
  <c r="X63" i="1"/>
  <c r="X64" i="1" s="1"/>
  <c r="V83" i="1"/>
  <c r="T84" i="1"/>
  <c r="X376" i="1"/>
  <c r="X69" i="1"/>
  <c r="Y69" i="1" s="1"/>
  <c r="Y67" i="1" s="1"/>
  <c r="Y68" i="1" s="1"/>
  <c r="T76" i="1"/>
  <c r="V75" i="1"/>
  <c r="X469" i="1"/>
  <c r="Y469" i="1" s="1"/>
  <c r="Y470" i="1"/>
  <c r="AO31" i="1"/>
  <c r="AN31" i="1"/>
  <c r="AW27" i="1"/>
  <c r="W83" i="1"/>
  <c r="U84" i="1"/>
  <c r="V211" i="1"/>
  <c r="X211" i="1" s="1"/>
  <c r="Y63" i="1"/>
  <c r="Y64" i="1" s="1"/>
  <c r="S384" i="1"/>
  <c r="S375" i="1"/>
  <c r="T375" i="1" s="1"/>
  <c r="V375" i="1" s="1"/>
  <c r="X472" i="1"/>
  <c r="Y493" i="1"/>
  <c r="Y472" i="1" s="1"/>
  <c r="Q305" i="1"/>
  <c r="R276" i="1"/>
  <c r="Q315" i="1"/>
  <c r="T68" i="1"/>
  <c r="V67" i="1"/>
  <c r="S274" i="1"/>
  <c r="R303" i="1"/>
  <c r="R313" i="1"/>
  <c r="AO464" i="1"/>
  <c r="AN464" i="1"/>
  <c r="U533" i="1"/>
  <c r="V533" i="1"/>
  <c r="M479" i="1"/>
  <c r="M467" i="1"/>
  <c r="M468" i="1"/>
  <c r="Y52" i="1"/>
  <c r="N467" i="1"/>
  <c r="S277" i="1"/>
  <c r="R306" i="1"/>
  <c r="R316" i="1"/>
  <c r="X481" i="1"/>
  <c r="Y563" i="1"/>
  <c r="Y481" i="1" s="1"/>
  <c r="Q307" i="1"/>
  <c r="R278" i="1"/>
  <c r="Q317" i="1"/>
  <c r="AN454" i="1"/>
  <c r="AO454" i="1"/>
  <c r="AO452" i="1"/>
  <c r="AN452" i="1"/>
  <c r="V121" i="1"/>
  <c r="U121" i="1"/>
  <c r="R279" i="1"/>
  <c r="Q308" i="1"/>
  <c r="Q318" i="1"/>
  <c r="V109" i="1"/>
  <c r="X108" i="1"/>
  <c r="X109" i="1" s="1"/>
  <c r="U464" i="1"/>
  <c r="V464" i="1"/>
  <c r="U532" i="1"/>
  <c r="V532" i="1"/>
  <c r="Y108" i="1"/>
  <c r="Y109" i="1" s="1"/>
  <c r="W109" i="1"/>
  <c r="X117" i="1"/>
  <c r="Y117" i="1" s="1"/>
  <c r="W117" i="1"/>
  <c r="L468" i="1"/>
  <c r="L479" i="1"/>
  <c r="Y561" i="1"/>
  <c r="Q275" i="1"/>
  <c r="P304" i="1"/>
  <c r="P314" i="1"/>
  <c r="U127" i="1" l="1"/>
  <c r="T338" i="1"/>
  <c r="V338" i="1" s="1"/>
  <c r="X338" i="1" s="1"/>
  <c r="S337" i="1"/>
  <c r="S468" i="1"/>
  <c r="S479" i="1"/>
  <c r="X57" i="1"/>
  <c r="Y57" i="1" s="1"/>
  <c r="Y463" i="1"/>
  <c r="U56" i="1"/>
  <c r="U43" i="1"/>
  <c r="W42" i="1"/>
  <c r="U34" i="1"/>
  <c r="U35" i="1" s="1"/>
  <c r="AN358" i="1"/>
  <c r="R370" i="1"/>
  <c r="AO358" i="1"/>
  <c r="V43" i="1"/>
  <c r="V34" i="1"/>
  <c r="V35" i="1" s="1"/>
  <c r="X42" i="1"/>
  <c r="AN381" i="1"/>
  <c r="Q393" i="1"/>
  <c r="AO381" i="1"/>
  <c r="Y207" i="1"/>
  <c r="V127" i="1"/>
  <c r="X134" i="1"/>
  <c r="X127" i="1" s="1"/>
  <c r="X463" i="1"/>
  <c r="X372" i="1"/>
  <c r="W127" i="1"/>
  <c r="Y134" i="1"/>
  <c r="Y127" i="1" s="1"/>
  <c r="Q280" i="1"/>
  <c r="P309" i="1"/>
  <c r="T333" i="1"/>
  <c r="V333" i="1" s="1"/>
  <c r="X333" i="1" s="1"/>
  <c r="T371" i="1"/>
  <c r="V371" i="1" s="1"/>
  <c r="V76" i="1"/>
  <c r="X75" i="1"/>
  <c r="X76" i="1" s="1"/>
  <c r="X83" i="1"/>
  <c r="X84" i="1" s="1"/>
  <c r="V84" i="1"/>
  <c r="W97" i="1"/>
  <c r="W95" i="1" s="1"/>
  <c r="W47" i="1" s="1"/>
  <c r="X97" i="1"/>
  <c r="Y97" i="1" s="1"/>
  <c r="Q312" i="1"/>
  <c r="R273" i="1"/>
  <c r="Q302" i="1"/>
  <c r="T96" i="1"/>
  <c r="V95" i="1"/>
  <c r="V92" i="1"/>
  <c r="X91" i="1"/>
  <c r="X92" i="1" s="1"/>
  <c r="W84" i="1"/>
  <c r="Y83" i="1"/>
  <c r="Y84" i="1" s="1"/>
  <c r="AO467" i="1"/>
  <c r="AN467" i="1"/>
  <c r="V55" i="1"/>
  <c r="T56" i="1"/>
  <c r="T47" i="1"/>
  <c r="U507" i="1"/>
  <c r="U465" i="1" s="1"/>
  <c r="V507" i="1"/>
  <c r="T465" i="1"/>
  <c r="T461" i="1" s="1"/>
  <c r="X375" i="1"/>
  <c r="S383" i="1"/>
  <c r="V330" i="1"/>
  <c r="X330" i="1" s="1"/>
  <c r="U47" i="1"/>
  <c r="V68" i="1"/>
  <c r="X67" i="1"/>
  <c r="X68" i="1" s="1"/>
  <c r="W92" i="1"/>
  <c r="Y91" i="1"/>
  <c r="Y92" i="1" s="1"/>
  <c r="S31" i="1"/>
  <c r="AZ27" i="1" s="1"/>
  <c r="S48" i="1"/>
  <c r="S49" i="1"/>
  <c r="W56" i="1"/>
  <c r="Y55" i="1"/>
  <c r="R369" i="1"/>
  <c r="R328" i="1" s="1"/>
  <c r="S329" i="1"/>
  <c r="T384" i="1"/>
  <c r="T387" i="1"/>
  <c r="V387" i="1" s="1"/>
  <c r="X387" i="1" s="1"/>
  <c r="X339" i="1"/>
  <c r="T381" i="1"/>
  <c r="V381" i="1" s="1"/>
  <c r="X381" i="1" s="1"/>
  <c r="R315" i="1"/>
  <c r="S276" i="1"/>
  <c r="R305" i="1"/>
  <c r="X207" i="1"/>
  <c r="T274" i="1"/>
  <c r="S303" i="1"/>
  <c r="S313" i="1"/>
  <c r="W532" i="1"/>
  <c r="X532" i="1"/>
  <c r="Y532" i="1" s="1"/>
  <c r="X121" i="1"/>
  <c r="Y121" i="1" s="1"/>
  <c r="W121" i="1"/>
  <c r="W533" i="1"/>
  <c r="X533" i="1"/>
  <c r="Y533" i="1" s="1"/>
  <c r="R275" i="1"/>
  <c r="Q304" i="1"/>
  <c r="Q314" i="1"/>
  <c r="X464" i="1"/>
  <c r="Y464" i="1" s="1"/>
  <c r="W464" i="1"/>
  <c r="R308" i="1"/>
  <c r="S279" i="1"/>
  <c r="R318" i="1"/>
  <c r="S278" i="1"/>
  <c r="R307" i="1"/>
  <c r="R317" i="1"/>
  <c r="T277" i="1"/>
  <c r="S306" i="1"/>
  <c r="S316" i="1"/>
  <c r="T337" i="1" l="1"/>
  <c r="V337" i="1" s="1"/>
  <c r="X337" i="1" s="1"/>
  <c r="T383" i="1"/>
  <c r="X371" i="1"/>
  <c r="X34" i="1"/>
  <c r="X35" i="1" s="1"/>
  <c r="X43" i="1"/>
  <c r="S370" i="1"/>
  <c r="W43" i="1"/>
  <c r="Y42" i="1"/>
  <c r="W34" i="1"/>
  <c r="W35" i="1" s="1"/>
  <c r="Q402" i="1"/>
  <c r="AN386" i="1"/>
  <c r="AO386" i="1"/>
  <c r="Q309" i="1"/>
  <c r="R280" i="1"/>
  <c r="R391" i="1"/>
  <c r="S315" i="1"/>
  <c r="T276" i="1"/>
  <c r="S305" i="1"/>
  <c r="Y56" i="1"/>
  <c r="T455" i="1"/>
  <c r="U461" i="1"/>
  <c r="U455" i="1" s="1"/>
  <c r="V96" i="1"/>
  <c r="X95" i="1"/>
  <c r="X96" i="1" s="1"/>
  <c r="U31" i="1"/>
  <c r="U48" i="1"/>
  <c r="U49" i="1"/>
  <c r="T31" i="1"/>
  <c r="BB27" i="1" s="1"/>
  <c r="T48" i="1"/>
  <c r="T49" i="1"/>
  <c r="R312" i="1"/>
  <c r="R302" i="1"/>
  <c r="S273" i="1"/>
  <c r="V384" i="1"/>
  <c r="X384" i="1" s="1"/>
  <c r="S369" i="1"/>
  <c r="S328" i="1" s="1"/>
  <c r="S391" i="1" s="1"/>
  <c r="T329" i="1"/>
  <c r="W49" i="1"/>
  <c r="W48" i="1"/>
  <c r="W96" i="1"/>
  <c r="Y95" i="1"/>
  <c r="Y96" i="1" s="1"/>
  <c r="W507" i="1"/>
  <c r="W465" i="1" s="1"/>
  <c r="V465" i="1"/>
  <c r="V461" i="1" s="1"/>
  <c r="X507" i="1"/>
  <c r="V56" i="1"/>
  <c r="X55" i="1"/>
  <c r="V47" i="1"/>
  <c r="S407" i="1"/>
  <c r="T278" i="1"/>
  <c r="S307" i="1"/>
  <c r="S317" i="1"/>
  <c r="S308" i="1"/>
  <c r="T279" i="1"/>
  <c r="S318" i="1"/>
  <c r="T316" i="1"/>
  <c r="U277" i="1"/>
  <c r="T306" i="1"/>
  <c r="R304" i="1"/>
  <c r="S275" i="1"/>
  <c r="R314" i="1"/>
  <c r="U274" i="1"/>
  <c r="T303" i="1"/>
  <c r="T313" i="1"/>
  <c r="V383" i="1" l="1"/>
  <c r="X383" i="1" s="1"/>
  <c r="W31" i="1"/>
  <c r="Y43" i="1"/>
  <c r="Y34" i="1"/>
  <c r="Y35" i="1" s="1"/>
  <c r="T370" i="1"/>
  <c r="V370" i="1" s="1"/>
  <c r="X370" i="1" s="1"/>
  <c r="S280" i="1"/>
  <c r="R309" i="1"/>
  <c r="V31" i="1"/>
  <c r="BD27" i="1" s="1"/>
  <c r="V49" i="1"/>
  <c r="V48" i="1"/>
  <c r="W461" i="1"/>
  <c r="W455" i="1" s="1"/>
  <c r="V455" i="1"/>
  <c r="T407" i="1"/>
  <c r="U407" i="1" s="1"/>
  <c r="Y507" i="1"/>
  <c r="Y465" i="1" s="1"/>
  <c r="X465" i="1"/>
  <c r="X461" i="1" s="1"/>
  <c r="V329" i="1"/>
  <c r="T369" i="1"/>
  <c r="T328" i="1" s="1"/>
  <c r="T391" i="1" s="1"/>
  <c r="S302" i="1"/>
  <c r="T273" i="1"/>
  <c r="S312" i="1"/>
  <c r="T479" i="1"/>
  <c r="T468" i="1"/>
  <c r="T467" i="1"/>
  <c r="T315" i="1"/>
  <c r="U276" i="1"/>
  <c r="T305" i="1"/>
  <c r="X56" i="1"/>
  <c r="X47" i="1"/>
  <c r="U479" i="1"/>
  <c r="U467" i="1"/>
  <c r="U468" i="1"/>
  <c r="R392" i="1"/>
  <c r="R393" i="1" s="1"/>
  <c r="R402" i="1" s="1"/>
  <c r="S406" i="1"/>
  <c r="Y47" i="1"/>
  <c r="T317" i="1"/>
  <c r="U278" i="1"/>
  <c r="T307" i="1"/>
  <c r="U306" i="1"/>
  <c r="V277" i="1"/>
  <c r="U316" i="1"/>
  <c r="U303" i="1"/>
  <c r="V274" i="1"/>
  <c r="U313" i="1"/>
  <c r="S304" i="1"/>
  <c r="T275" i="1"/>
  <c r="S314" i="1"/>
  <c r="T318" i="1"/>
  <c r="T308" i="1"/>
  <c r="U279" i="1"/>
  <c r="T280" i="1" l="1"/>
  <c r="S309" i="1"/>
  <c r="S408" i="1"/>
  <c r="T406" i="1"/>
  <c r="U406" i="1" s="1"/>
  <c r="Y49" i="1"/>
  <c r="Y48" i="1"/>
  <c r="Y31" i="1"/>
  <c r="T302" i="1"/>
  <c r="U273" i="1"/>
  <c r="T312" i="1"/>
  <c r="X329" i="1"/>
  <c r="V369" i="1"/>
  <c r="V328" i="1" s="1"/>
  <c r="W407" i="1"/>
  <c r="Y407" i="1" s="1"/>
  <c r="X31" i="1"/>
  <c r="X49" i="1"/>
  <c r="X48" i="1"/>
  <c r="W467" i="1"/>
  <c r="W479" i="1"/>
  <c r="W468" i="1"/>
  <c r="S392" i="1"/>
  <c r="U305" i="1"/>
  <c r="V276" i="1"/>
  <c r="U315" i="1"/>
  <c r="V467" i="1"/>
  <c r="V479" i="1"/>
  <c r="V468" i="1"/>
  <c r="V407" i="1"/>
  <c r="X407" i="1" s="1"/>
  <c r="X455" i="1"/>
  <c r="Y461" i="1"/>
  <c r="Y455" i="1" s="1"/>
  <c r="W274" i="1"/>
  <c r="V303" i="1"/>
  <c r="V313" i="1"/>
  <c r="V279" i="1"/>
  <c r="U308" i="1"/>
  <c r="U318" i="1"/>
  <c r="T304" i="1"/>
  <c r="U275" i="1"/>
  <c r="T314" i="1"/>
  <c r="W277" i="1"/>
  <c r="V306" i="1"/>
  <c r="V316" i="1"/>
  <c r="U307" i="1"/>
  <c r="V278" i="1"/>
  <c r="U317" i="1"/>
  <c r="T408" i="1" l="1"/>
  <c r="U280" i="1"/>
  <c r="T309" i="1"/>
  <c r="V391" i="1"/>
  <c r="V406" i="1"/>
  <c r="V408" i="1" s="1"/>
  <c r="Y468" i="1"/>
  <c r="Y467" i="1"/>
  <c r="Y479" i="1"/>
  <c r="X369" i="1"/>
  <c r="X328" i="1" s="1"/>
  <c r="X391" i="1" s="1"/>
  <c r="W276" i="1"/>
  <c r="V305" i="1"/>
  <c r="V315" i="1"/>
  <c r="U312" i="1"/>
  <c r="V273" i="1"/>
  <c r="U302" i="1"/>
  <c r="S393" i="1"/>
  <c r="S402" i="1" s="1"/>
  <c r="U408" i="1"/>
  <c r="X479" i="1"/>
  <c r="X467" i="1"/>
  <c r="X468" i="1"/>
  <c r="W406" i="1"/>
  <c r="Y406" i="1" s="1"/>
  <c r="T392" i="1"/>
  <c r="U392" i="1" s="1"/>
  <c r="V308" i="1"/>
  <c r="W279" i="1"/>
  <c r="V318" i="1"/>
  <c r="W303" i="1"/>
  <c r="X274" i="1"/>
  <c r="W313" i="1"/>
  <c r="V275" i="1"/>
  <c r="U304" i="1"/>
  <c r="U314" i="1"/>
  <c r="W278" i="1"/>
  <c r="V307" i="1"/>
  <c r="V317" i="1"/>
  <c r="W306" i="1"/>
  <c r="X277" i="1"/>
  <c r="W316" i="1"/>
  <c r="U309" i="1" l="1"/>
  <c r="V280" i="1"/>
  <c r="W408" i="1"/>
  <c r="Y408" i="1" s="1"/>
  <c r="W305" i="1"/>
  <c r="X276" i="1"/>
  <c r="W315" i="1"/>
  <c r="V392" i="1"/>
  <c r="T393" i="1"/>
  <c r="T402" i="1" s="1"/>
  <c r="V312" i="1"/>
  <c r="V302" i="1"/>
  <c r="W273" i="1"/>
  <c r="X406" i="1"/>
  <c r="X408" i="1" s="1"/>
  <c r="Y277" i="1"/>
  <c r="X306" i="1"/>
  <c r="X316" i="1"/>
  <c r="W307" i="1"/>
  <c r="X278" i="1"/>
  <c r="W317" i="1"/>
  <c r="X303" i="1"/>
  <c r="Y274" i="1"/>
  <c r="X313" i="1"/>
  <c r="V304" i="1"/>
  <c r="W275" i="1"/>
  <c r="V314" i="1"/>
  <c r="X279" i="1"/>
  <c r="W308" i="1"/>
  <c r="W318" i="1"/>
  <c r="V309" i="1" l="1"/>
  <c r="W280" i="1"/>
  <c r="V393" i="1"/>
  <c r="V402" i="1" s="1"/>
  <c r="X273" i="1"/>
  <c r="W312" i="1"/>
  <c r="W302" i="1"/>
  <c r="Y276" i="1"/>
  <c r="X315" i="1"/>
  <c r="X305" i="1"/>
  <c r="W392" i="1"/>
  <c r="X392" i="1" s="1"/>
  <c r="X393" i="1" s="1"/>
  <c r="X402" i="1" s="1"/>
  <c r="Y279" i="1"/>
  <c r="X308" i="1"/>
  <c r="X318" i="1"/>
  <c r="Y303" i="1"/>
  <c r="Y313" i="1"/>
  <c r="X307" i="1"/>
  <c r="Y278" i="1"/>
  <c r="X317" i="1"/>
  <c r="Y306" i="1"/>
  <c r="Y316" i="1"/>
  <c r="X275" i="1"/>
  <c r="W304" i="1"/>
  <c r="W314" i="1"/>
  <c r="W309" i="1" l="1"/>
  <c r="X280" i="1"/>
  <c r="Y315" i="1"/>
  <c r="Y305" i="1"/>
  <c r="Y392" i="1"/>
  <c r="X312" i="1"/>
  <c r="X302" i="1"/>
  <c r="Y273" i="1"/>
  <c r="Y308" i="1"/>
  <c r="Y318" i="1"/>
  <c r="X304" i="1"/>
  <c r="Y275" i="1"/>
  <c r="X314" i="1"/>
  <c r="Y307" i="1"/>
  <c r="Y317" i="1"/>
  <c r="X309" i="1" l="1"/>
  <c r="Y280" i="1"/>
  <c r="Y309" i="1" s="1"/>
  <c r="Y302" i="1"/>
  <c r="Y312" i="1"/>
  <c r="Y304" i="1"/>
  <c r="Y314" i="1"/>
</calcChain>
</file>

<file path=xl/comments1.xml><?xml version="1.0" encoding="utf-8"?>
<comments xmlns="http://schemas.openxmlformats.org/spreadsheetml/2006/main">
  <authors>
    <author>Ярикова Татьяна Валерьевна</author>
  </authors>
  <commentList>
    <comment ref="O564" authorId="0">
      <text>
        <r>
          <rPr>
            <b/>
            <sz val="9"/>
            <color indexed="81"/>
            <rFont val="Tahoma"/>
            <family val="2"/>
            <charset val="204"/>
          </rPr>
          <t>Ярикова Татьяна Валерьевна:</t>
        </r>
        <r>
          <rPr>
            <sz val="9"/>
            <color indexed="81"/>
            <rFont val="Tahoma"/>
            <family val="2"/>
            <charset val="204"/>
          </rPr>
          <t xml:space="preserve">
СФУ+</t>
        </r>
      </text>
    </comment>
    <comment ref="P564" authorId="0">
      <text>
        <r>
          <rPr>
            <b/>
            <sz val="9"/>
            <color indexed="81"/>
            <rFont val="Tahoma"/>
            <family val="2"/>
            <charset val="204"/>
          </rPr>
          <t>Ярикова Татьяна Валерьевна:</t>
        </r>
        <r>
          <rPr>
            <sz val="9"/>
            <color indexed="81"/>
            <rFont val="Tahoma"/>
            <family val="2"/>
            <charset val="204"/>
          </rPr>
          <t xml:space="preserve">
СФУ+</t>
        </r>
      </text>
    </comment>
    <comment ref="Q56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очно СФУ+СПТ+СТЭМИ
</t>
        </r>
      </text>
    </comment>
    <comment ref="R564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S564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T564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V564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X564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</commentList>
</comments>
</file>

<file path=xl/sharedStrings.xml><?xml version="1.0" encoding="utf-8"?>
<sst xmlns="http://schemas.openxmlformats.org/spreadsheetml/2006/main" count="3902" uniqueCount="1144">
  <si>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</si>
  <si>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</si>
  <si>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</si>
  <si>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</si>
  <si>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</si>
  <si>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</si>
  <si>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</si>
  <si>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</si>
  <si>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</si>
  <si>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</si>
  <si>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</si>
  <si>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</si>
  <si>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</si>
  <si>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выполненных работ по виду деятельности "строительство" (Раздел F)</t>
  </si>
  <si>
    <t>Фонд начисленной заработной платы всех работников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</si>
  <si>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</si>
  <si>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</si>
  <si>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</si>
  <si>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</si>
  <si>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</si>
  <si>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</si>
  <si>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</si>
  <si>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</si>
  <si>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</si>
  <si>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 xml:space="preserve">прочие  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</si>
  <si>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</si>
  <si>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</si>
  <si>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</si>
  <si>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</si>
  <si>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</si>
  <si>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</si>
  <si>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</si>
  <si>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</si>
  <si>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</si>
  <si>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</si>
  <si>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</si>
  <si>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</si>
  <si>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</si>
  <si>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</si>
  <si>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</si>
  <si>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</si>
  <si>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</si>
  <si>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</si>
  <si>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</si>
  <si>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</si>
  <si>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тыс. тонн</t>
  </si>
  <si>
    <t>млн. штук</t>
  </si>
  <si>
    <t>тыс. плот. куб. м</t>
  </si>
  <si>
    <t xml:space="preserve">млн. куб. м </t>
  </si>
  <si>
    <t>тыс. дкл</t>
  </si>
  <si>
    <t xml:space="preserve">Hапитки винные (виноградные и плодовые) с содержанием спирта более 20% объемных </t>
  </si>
  <si>
    <t>тыс. кв. м</t>
  </si>
  <si>
    <t>тыс. штук</t>
  </si>
  <si>
    <t>тыс. пар</t>
  </si>
  <si>
    <t>тыс. куб. м</t>
  </si>
  <si>
    <t>млн. условных кирпичей</t>
  </si>
  <si>
    <t>3. Рынок товаров и услуг</t>
  </si>
  <si>
    <t>Индекс потребительских цен</t>
  </si>
  <si>
    <t>декабрь к декабрю предыдущего года, %</t>
  </si>
  <si>
    <t xml:space="preserve">Оборот розничной торговли </t>
  </si>
  <si>
    <t>Индекс-дефлятор оборота розничной торговли</t>
  </si>
  <si>
    <t>Индекс цен на продукцию общественного питания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</si>
  <si>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</si>
  <si>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</si>
  <si>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</si>
  <si>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</si>
  <si>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 xml:space="preserve"> млн. долл. США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</si>
  <si>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</si>
  <si>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</si>
  <si>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</si>
  <si>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</si>
  <si>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</si>
  <si>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</si>
  <si>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</si>
  <si>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</si>
  <si>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</si>
  <si>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</si>
  <si>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</si>
  <si>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</si>
  <si>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</si>
  <si>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</si>
  <si>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</si>
  <si>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</si>
  <si>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</si>
  <si>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</si>
  <si>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Налог на имущество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</si>
  <si>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</si>
  <si>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</si>
  <si>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</si>
  <si>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</si>
  <si>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Индекс-дефлятор по объему работ, выполненных по виду деятельности "строительство" (Раздел F)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</si>
  <si>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</si>
  <si>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</si>
  <si>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</si>
  <si>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</si>
  <si>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</si>
  <si>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</si>
  <si>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</si>
  <si>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</si>
  <si>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</si>
  <si>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число умерших на 1000 человек населения</t>
  </si>
  <si>
    <t>Коэффициент естественного прироста населения</t>
  </si>
  <si>
    <t>Валовой региональный продукт (в основных ценах соответствующих лет) - всего</t>
  </si>
  <si>
    <t>% к предыдущему году в постоянных основных ценах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</si>
  <si>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</si>
  <si>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Наличие персональных компьютеров</t>
  </si>
  <si>
    <t xml:space="preserve">          в том числе подключенных к сети Интернет</t>
  </si>
  <si>
    <t>Объем работ, выполненных по виду деятельности "Строительство" (Раздел F)</t>
  </si>
  <si>
    <t>Индекс-дефлятор по объему работ, выполненных по виду деятельности "Строительство" (Раздел F)</t>
  </si>
  <si>
    <t>Продукция сельского хозяйства в хозяйствах всех категорий, в том числе:</t>
  </si>
  <si>
    <t>Индекс производства по виду деятельности "Строительство" (Раздел F)</t>
  </si>
  <si>
    <t>Страны дальнего зарубежья:</t>
  </si>
  <si>
    <t>Государства-участники СНГ: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</si>
  <si>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</si>
  <si>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Аппаратура приемная телевизионная, в том числе видеомониторы и видеопроекты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</si>
  <si>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</si>
  <si>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</si>
  <si>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</si>
  <si>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</si>
  <si>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</si>
  <si>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</si>
  <si>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</si>
  <si>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</si>
  <si>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</si>
  <si>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</si>
  <si>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</si>
  <si>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</si>
  <si>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</si>
  <si>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</si>
  <si>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</si>
  <si>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</si>
  <si>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</si>
  <si>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</si>
  <si>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</si>
  <si>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</si>
  <si>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</si>
  <si>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руб./тыс.кВт.ч</t>
  </si>
  <si>
    <t>за период с начала года к соотв. периоду предыдущего года,%</t>
  </si>
  <si>
    <t>к соответствующему периоду предыдущего года, %</t>
  </si>
  <si>
    <t>прибыль</t>
  </si>
  <si>
    <t>амортизация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</si>
  <si>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</si>
  <si>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</si>
  <si>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</si>
  <si>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</si>
  <si>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</si>
  <si>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</si>
  <si>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</si>
  <si>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</si>
  <si>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</si>
  <si>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</si>
  <si>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</si>
  <si>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</si>
  <si>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</si>
  <si>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</si>
  <si>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</si>
  <si>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</si>
  <si>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</si>
  <si>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</si>
  <si>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</si>
  <si>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</si>
  <si>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</si>
  <si>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</si>
  <si>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</si>
  <si>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</si>
  <si>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</si>
  <si>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</si>
  <si>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</si>
  <si>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</si>
  <si>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</si>
  <si>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</si>
  <si>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</si>
  <si>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</si>
  <si>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</si>
  <si>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</si>
  <si>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</si>
  <si>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</si>
  <si>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</si>
  <si>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Величина прожиточного минимума в среднем на душу населения в месяц</t>
  </si>
  <si>
    <t>9. Труд и занятость</t>
  </si>
  <si>
    <t>Индекс физического объема валового регионального продукта</t>
  </si>
  <si>
    <t>Индекс-дефлятор объема валового регионального продукта</t>
  </si>
  <si>
    <t>Распределение среднегодовой численности занятых в экономике по формам собственности:</t>
  </si>
  <si>
    <t xml:space="preserve">Численность постоянного населения (среднегодовая) </t>
  </si>
  <si>
    <t>Численность постоянного населения (среднегодовая), городское</t>
  </si>
  <si>
    <t>Численность постоянного населения (среднегодовая), сельское</t>
  </si>
  <si>
    <t>Количество малых предприятий - на конец года</t>
  </si>
  <si>
    <t>Подраздел DF: Производство кокса, нефтепродуктов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</si>
  <si>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</si>
  <si>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(в основной капитал) за счет всех источников финансирования</t>
  </si>
  <si>
    <t>Объем инвестиций в основной капитал, финансируемых за счет привлеченных средств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</si>
  <si>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</si>
  <si>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Прямые иностранные инвестиции</t>
  </si>
  <si>
    <t>Портфельные иностранные инвестиции</t>
  </si>
  <si>
    <t>Прочие (торговые кредиты, кредиты международных финансовых организаций, банковские вклады и др.) иностранные инвестиции</t>
  </si>
  <si>
    <t>Доходы консолидированного бюджета субъекта Российской Федерации</t>
  </si>
  <si>
    <t>Расходы консолидированного бюджета субъекта Российской Федерации</t>
  </si>
  <si>
    <t>Денежные доходы населения</t>
  </si>
  <si>
    <t>оплата труда, включая скрытую заработную плату</t>
  </si>
  <si>
    <t>Расходы населения</t>
  </si>
  <si>
    <t>прочие расходы</t>
  </si>
  <si>
    <t>в % к предыдущему году</t>
  </si>
  <si>
    <t>Численность занятых в экономике (среднегодовая)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</si>
  <si>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</si>
  <si>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</si>
  <si>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</si>
  <si>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</si>
  <si>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</si>
  <si>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Численность безработных, зарегистрированных в  службах занятости</t>
  </si>
  <si>
    <t>Просроченная задолженность по заработной плате работников к месячному фонду заработной платы на конец года</t>
  </si>
  <si>
    <t>Выпуск специалистов:</t>
  </si>
  <si>
    <t>со средним профессиональным образованием</t>
  </si>
  <si>
    <t>с высшим профессиональным образованием</t>
  </si>
  <si>
    <t xml:space="preserve">Число заболеваний, зарегистрированных у больных с впервые установленным диагнозом </t>
  </si>
  <si>
    <t xml:space="preserve">Ввод в действие жилых домов </t>
  </si>
  <si>
    <t>Выбросы в атмосферный воздух загрязняющих веществ, отходящих от стационарных источников</t>
  </si>
  <si>
    <t>Объем водопотребления (данные Росводресурсов)</t>
  </si>
  <si>
    <t>Объем оборотного и повторно-последовательного использования воды (данные Росводресурсов)</t>
  </si>
  <si>
    <t>% ко всему населению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</si>
  <si>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</si>
  <si>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</si>
  <si>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</si>
  <si>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Учащиеся в трудоспособном возрасте, обучающиеся с отрывом от производства</t>
  </si>
  <si>
    <t>Импорт товаров - всего</t>
  </si>
  <si>
    <t>Экспорт товаров - всего</t>
  </si>
  <si>
    <t>Амортизация основных фондов, начисленная за год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</si>
  <si>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</si>
  <si>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</si>
  <si>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</si>
  <si>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</si>
  <si>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</si>
  <si>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</si>
  <si>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село</t>
  </si>
  <si>
    <t>больничными койками</t>
  </si>
  <si>
    <t>в том числе койками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</si>
  <si>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</si>
  <si>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</si>
  <si>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</si>
  <si>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</si>
  <si>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</si>
  <si>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</si>
  <si>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</si>
  <si>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</si>
  <si>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</si>
  <si>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расчет в "Показателях СЭР"/Диаграммы</t>
  </si>
  <si>
    <t>операции с недвижимом имуществом, аренда и предоставление услуг</t>
  </si>
  <si>
    <t>научные исследования и разработки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</si>
  <si>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</si>
  <si>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</si>
  <si>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</si>
  <si>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</si>
  <si>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</si>
  <si>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</si>
  <si>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</si>
  <si>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</si>
  <si>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</si>
  <si>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</si>
  <si>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единиц на 100 тыс. населения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</si>
  <si>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</si>
  <si>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</si>
  <si>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</si>
  <si>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</si>
  <si>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</si>
  <si>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12. Туризм</t>
  </si>
  <si>
    <t>бюджет МО г.Саяногорск</t>
  </si>
  <si>
    <t>или чел.</t>
  </si>
  <si>
    <t>Количество выезжавших в поездки жителей региона</t>
  </si>
  <si>
    <t xml:space="preserve">    в том числе по группам потребителей:</t>
  </si>
  <si>
    <t xml:space="preserve">   электроэнергия, отпущенная различным категориям потребителей</t>
  </si>
  <si>
    <t xml:space="preserve">   электроэнергия, отпущенная промышленным потребителям</t>
  </si>
  <si>
    <t xml:space="preserve">   электроэнергия, отпущенная населению</t>
  </si>
  <si>
    <t>Продукция растениеводства</t>
  </si>
  <si>
    <t>Индекс потребительских цен за период с начала года</t>
  </si>
  <si>
    <t>Индекс потребительских цен на продукцию общественного питания</t>
  </si>
  <si>
    <t>Число малых предприятий, включая микропредприятия (на конец года)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</si>
  <si>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</si>
  <si>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6а. Основные фонды</t>
  </si>
  <si>
    <t>Наличие основных фондов по полной учетной стоимости на конец года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</si>
  <si>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</si>
  <si>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безработных (по методологии МОТ)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</si>
  <si>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</si>
  <si>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</si>
  <si>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>Продукция животноводства</t>
  </si>
  <si>
    <t xml:space="preserve">    в том числе федерального значения</t>
  </si>
  <si>
    <t>Объемы затрат жителей региона на поездки (с разбивкой по целям)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</si>
  <si>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</si>
  <si>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</si>
  <si>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</si>
  <si>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</si>
  <si>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</si>
  <si>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</si>
  <si>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</si>
  <si>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</si>
  <si>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</si>
  <si>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</si>
  <si>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</si>
  <si>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</si>
  <si>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</si>
  <si>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</si>
  <si>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</si>
  <si>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</si>
  <si>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>число родившихся на 1000 человек населения</t>
  </si>
  <si>
    <t xml:space="preserve">       в том числе подсолнечника</t>
  </si>
  <si>
    <t>Валовой сбор льноволокна</t>
  </si>
  <si>
    <t>5. Малое предпринимательство *</t>
  </si>
  <si>
    <t>*  С 2008 года вступил в действие закон № 209-ФЗ от 24.07.2007. Данные за 2006-2007 годы будут не сопоставимы с данными за 2008 год. Новое название раздела в соответствии с законом "Малое и среднее предпринимательство"</t>
  </si>
  <si>
    <t>2.6.1. Транспорт</t>
  </si>
  <si>
    <t>2.6.2. Связь</t>
  </si>
  <si>
    <t xml:space="preserve">               в ценах соответствующих лет</t>
  </si>
  <si>
    <t xml:space="preserve">               в сопоставимых ценах</t>
  </si>
  <si>
    <t>в % к пред.году</t>
  </si>
  <si>
    <t>млн.ед.</t>
  </si>
  <si>
    <t>Деятельность,  связаная с использованием вычислительной техники и информационных технологий</t>
  </si>
  <si>
    <t xml:space="preserve"> в том числе подключенных к сети Интернет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</si>
  <si>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</si>
  <si>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</si>
  <si>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</si>
  <si>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</si>
  <si>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</si>
  <si>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</si>
  <si>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</si>
  <si>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Затраты на государственные инвестиции</t>
  </si>
  <si>
    <t xml:space="preserve"> </t>
  </si>
  <si>
    <t>млн.кВт.ч.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</si>
  <si>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</si>
  <si>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</si>
  <si>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</si>
  <si>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</si>
  <si>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</si>
  <si>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</si>
  <si>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</si>
  <si>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</si>
  <si>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</si>
  <si>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</si>
  <si>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</si>
  <si>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</si>
  <si>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</si>
  <si>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</si>
  <si>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</si>
  <si>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</si>
  <si>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</si>
  <si>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</si>
  <si>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 xml:space="preserve">Индекс-дефлятор -  Подраздел DF: Производство кокса, нефтепродуктов </t>
  </si>
  <si>
    <t>на 1000 человек населения</t>
  </si>
  <si>
    <t>на 10 000 человек населения</t>
  </si>
  <si>
    <t xml:space="preserve">млн. руб. </t>
  </si>
  <si>
    <t xml:space="preserve">Индекс промышленного производства </t>
  </si>
  <si>
    <t>Валовой сбор зерна (в весе после доработки)</t>
  </si>
  <si>
    <t>Валовой сбор картофеля</t>
  </si>
  <si>
    <t>Валовой сбор овощей</t>
  </si>
  <si>
    <t>Производство молока</t>
  </si>
  <si>
    <t>Производство яиц</t>
  </si>
  <si>
    <t>Производство деловой древесины</t>
  </si>
  <si>
    <t>Добыча угля</t>
  </si>
  <si>
    <t>Добыча нефти, включая газовый конденсат</t>
  </si>
  <si>
    <t>Производство мяса, включая субпродукты 1 категории</t>
  </si>
  <si>
    <t>Производство цельномолочной продукции (в пересчете на молоко)</t>
  </si>
  <si>
    <t>Производство сахара-песка</t>
  </si>
  <si>
    <t>Производство масел растительных</t>
  </si>
  <si>
    <t>Производство товарной пищевой рыбной продукции, включая консервы рыбные</t>
  </si>
  <si>
    <t>Производство спирта этилового из пищевого сырья и технического</t>
  </si>
  <si>
    <t>Производство спирта этилового из пищевого сырья</t>
  </si>
  <si>
    <t>Производство водки и ликеро-водочных изделий</t>
  </si>
  <si>
    <t>Производство коньяков</t>
  </si>
  <si>
    <t>Производство вин виноградных</t>
  </si>
  <si>
    <t>Производство вин плодовых</t>
  </si>
  <si>
    <t>Производство вин шампанских и игристых</t>
  </si>
  <si>
    <t>Производство пива</t>
  </si>
  <si>
    <t>Производство хлопчатобумажных готовых тканей</t>
  </si>
  <si>
    <t>Производство трикотажных изделий</t>
  </si>
  <si>
    <t>Производство обуви</t>
  </si>
  <si>
    <t>Производство пиломатериалов</t>
  </si>
  <si>
    <t>Производство бумаги</t>
  </si>
  <si>
    <t>Производство автомобильного бензина</t>
  </si>
  <si>
    <t>Производство дизельного топлива</t>
  </si>
  <si>
    <t>Производство смазочных нефтяных масел</t>
  </si>
  <si>
    <t>Производство топочного мазута</t>
  </si>
  <si>
    <t xml:space="preserve">Производство минеральных удобрений (в пересчете на 100% питательных веществ) </t>
  </si>
  <si>
    <t>Производство полиэтилена</t>
  </si>
  <si>
    <t>Производство шин для грузовых автомобилей, автобусов и троллейбусов</t>
  </si>
  <si>
    <t>2.4. Сельское хозяйство</t>
  </si>
  <si>
    <t>2.5. Транспорт и связь</t>
  </si>
  <si>
    <t>2.5.1. Транспорт</t>
  </si>
  <si>
    <t>2.5.2. Связь</t>
  </si>
  <si>
    <t xml:space="preserve">2.6. Производство важнейших видов продукции в натуральном выражении </t>
  </si>
  <si>
    <t>2.7. Строительство</t>
  </si>
  <si>
    <t>Производство шин для легковых автомобилей</t>
  </si>
  <si>
    <t>Производство цемента</t>
  </si>
  <si>
    <t>Производство строительного кирпича</t>
  </si>
  <si>
    <t>Производство блоков крупных стеновых (включая бетонные блоки стен подвалов)</t>
  </si>
  <si>
    <t>Производство блоков мелких стеновых из ячеистого бетона</t>
  </si>
  <si>
    <t>Производство готового проката черных металлов</t>
  </si>
  <si>
    <t>Производство стальных труб</t>
  </si>
  <si>
    <t>Производство металлорежущих станков</t>
  </si>
  <si>
    <t>Производство тракторов</t>
  </si>
  <si>
    <t>Производство телевизоров</t>
  </si>
  <si>
    <t>Производство бытовых холодильников и морозильников</t>
  </si>
  <si>
    <t>Производство бытовых стиральных машин</t>
  </si>
  <si>
    <t>Производство электропылесосов</t>
  </si>
  <si>
    <t>Производство ювелирных изделий в фактических ценах (без НДС и акциза)</t>
  </si>
  <si>
    <t>Производство грузовых автомобилей</t>
  </si>
  <si>
    <t>Производство легковых автомобилей</t>
  </si>
  <si>
    <t>Производство мотоциклов</t>
  </si>
  <si>
    <t>Производство электроэнергии</t>
  </si>
  <si>
    <t>Производство электроэнергии, вырабатываемой АЭС</t>
  </si>
  <si>
    <t>Производство электроэнергии, вырабатываемой ТЭС</t>
  </si>
  <si>
    <t>Производство электроэнергии, вырабатываемой ГЭС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</si>
  <si>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</si>
  <si>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</si>
  <si>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</si>
  <si>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</si>
  <si>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</si>
  <si>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</si>
  <si>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</si>
  <si>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</si>
  <si>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</si>
  <si>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</si>
  <si>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</si>
  <si>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</si>
  <si>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</si>
  <si>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</si>
  <si>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>обрабатывающие производства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</si>
  <si>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</si>
  <si>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</si>
  <si>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Мясо и субпродукты пищевые убойных животных</t>
  </si>
  <si>
    <t>Мясо и субпродукты пищевые домашней птицы</t>
  </si>
  <si>
    <t>Портландцемент, цемент глиноземистый, цемент шлаковый и аналогичные цементы гидравлические</t>
  </si>
  <si>
    <t>Шампанское, вина игристые</t>
  </si>
  <si>
    <t>Вина столовые</t>
  </si>
  <si>
    <t>Лесоматериалы, продольно распиленные или расколотые, разделенные на слои или лущеные, толщиной более 6 мм; шпалы железнодорожные или трамвайные деревянные, непропитанные</t>
  </si>
  <si>
    <t>Масло сливочное и пасты масляные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</si>
  <si>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</si>
  <si>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</si>
  <si>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в том числе по отдельным видам экономической деятельности:</t>
  </si>
  <si>
    <t>добыча полезных ископаемых</t>
  </si>
  <si>
    <t>производство и распределение электроэнергии, газа и воды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</si>
  <si>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</si>
  <si>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</si>
  <si>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</si>
  <si>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</si>
  <si>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</si>
  <si>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</si>
  <si>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</si>
  <si>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</si>
  <si>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</si>
  <si>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</si>
  <si>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</si>
  <si>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</si>
  <si>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</si>
  <si>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</si>
  <si>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</si>
  <si>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</si>
  <si>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</si>
  <si>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</si>
  <si>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</si>
  <si>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</si>
  <si>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</si>
  <si>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</si>
  <si>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</si>
  <si>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</si>
  <si>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</si>
  <si>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</si>
  <si>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</si>
  <si>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</si>
  <si>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</si>
  <si>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</si>
  <si>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тыс.человек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</si>
  <si>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</si>
  <si>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</si>
  <si>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</si>
  <si>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</si>
  <si>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</si>
  <si>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</si>
  <si>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Автомобили грузовые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</si>
  <si>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</si>
  <si>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</si>
  <si>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</si>
  <si>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Трубы стальные</t>
  </si>
  <si>
    <t>штук</t>
  </si>
  <si>
    <t>тыс.тонн</t>
  </si>
  <si>
    <t>Ткани хлопчатобумажные</t>
  </si>
  <si>
    <t>км</t>
  </si>
  <si>
    <t>тыс. единиц</t>
  </si>
  <si>
    <t>человек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</si>
  <si>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</si>
  <si>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</si>
  <si>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</si>
  <si>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</si>
  <si>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</si>
  <si>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</si>
  <si>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</si>
  <si>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</si>
  <si>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</si>
  <si>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</si>
  <si>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</si>
  <si>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</si>
  <si>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</si>
  <si>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</si>
  <si>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</si>
  <si>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>Индекс-дефлятор объема платных услуг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</si>
  <si>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</si>
  <si>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</si>
  <si>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</si>
  <si>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</si>
  <si>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</si>
  <si>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</si>
  <si>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</si>
  <si>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</si>
  <si>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</si>
  <si>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</si>
  <si>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</si>
  <si>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</si>
  <si>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r>
      <t xml:space="preserve">число умерших на 1000 </t>
    </r>
    <r>
      <rPr>
        <sz val="7"/>
        <color indexed="8"/>
        <rFont val="Tahoma"/>
        <family val="2"/>
        <charset val="204"/>
      </rPr>
      <t xml:space="preserve">человек </t>
    </r>
    <r>
      <rPr>
        <sz val="7"/>
        <color indexed="8"/>
        <rFont val="Tahoma"/>
        <family val="2"/>
      </rPr>
      <t>населения</t>
    </r>
  </si>
  <si>
    <r>
      <t xml:space="preserve">Коэффициент естественного прироста </t>
    </r>
    <r>
      <rPr>
        <sz val="8"/>
        <color indexed="8"/>
        <rFont val="Tahoma"/>
        <family val="2"/>
        <charset val="204"/>
      </rPr>
      <t>населения</t>
    </r>
  </si>
  <si>
    <r>
      <t xml:space="preserve">Валовой региональный продукт </t>
    </r>
    <r>
      <rPr>
        <sz val="8"/>
        <color indexed="8"/>
        <rFont val="Tahoma"/>
        <family val="2"/>
        <charset val="204"/>
      </rPr>
      <t>(в основных ценах соответствующих лет</t>
    </r>
    <r>
      <rPr>
        <sz val="8"/>
        <color indexed="8"/>
        <rFont val="Tahoma"/>
        <family val="2"/>
      </rPr>
      <t>) - всего</t>
    </r>
  </si>
  <si>
    <r>
      <t xml:space="preserve">% к предыдущему году в </t>
    </r>
    <r>
      <rPr>
        <sz val="7"/>
        <color indexed="8"/>
        <rFont val="Tahoma"/>
        <family val="2"/>
        <charset val="204"/>
      </rPr>
      <t xml:space="preserve">постоянных </t>
    </r>
    <r>
      <rPr>
        <b/>
        <sz val="7"/>
        <color indexed="8"/>
        <rFont val="Tahoma"/>
        <family val="2"/>
        <charset val="204"/>
      </rPr>
      <t>основных</t>
    </r>
    <r>
      <rPr>
        <sz val="7"/>
        <color indexed="8"/>
        <rFont val="Tahoma"/>
        <family val="2"/>
      </rPr>
      <t xml:space="preserve"> ценах</t>
    </r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</si>
  <si>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(без производства оружия и боеприпасов)</t>
  </si>
  <si>
    <t>по полному кругу организаций</t>
  </si>
  <si>
    <t xml:space="preserve">Число заболеваний, зарегистрированных у больных  впервые установленным диагнозом </t>
  </si>
  <si>
    <t>2009 г.</t>
  </si>
  <si>
    <t>2010 г.</t>
  </si>
  <si>
    <t>2011 г.</t>
  </si>
  <si>
    <t>2012 г.</t>
  </si>
  <si>
    <t>2013 г.</t>
  </si>
  <si>
    <t>2014 г.</t>
  </si>
  <si>
    <t>2015 г.</t>
  </si>
  <si>
    <t>2016 г.</t>
  </si>
  <si>
    <t>2017 г.</t>
  </si>
  <si>
    <t>Прогноз</t>
  </si>
  <si>
    <t>2014/2013</t>
  </si>
  <si>
    <t>2014-2013</t>
  </si>
  <si>
    <t>2018 г.</t>
  </si>
  <si>
    <t>Оценка</t>
  </si>
  <si>
    <t>Индекс производства -  38.9: Производство машин и оборудования (без производства оружия и боеприпасов)</t>
  </si>
  <si>
    <t>Продукция сельского хозяйства  в хозяйствах всех категорий</t>
  </si>
  <si>
    <t>Густота автомобильных дорог общего пользования с твердым покрытием</t>
  </si>
  <si>
    <r>
      <t xml:space="preserve">Объем </t>
    </r>
    <r>
      <rPr>
        <sz val="8"/>
        <color indexed="8"/>
        <rFont val="Tahoma"/>
        <family val="2"/>
        <charset val="204"/>
      </rPr>
      <t xml:space="preserve"> услуг связи - всего</t>
    </r>
  </si>
  <si>
    <r>
      <t>почтовая</t>
    </r>
    <r>
      <rPr>
        <sz val="8"/>
        <color indexed="8"/>
        <rFont val="Tahoma"/>
        <family val="2"/>
        <charset val="204"/>
      </rPr>
      <t xml:space="preserve"> связь</t>
    </r>
  </si>
  <si>
    <r>
      <t xml:space="preserve"> междугородная</t>
    </r>
    <r>
      <rPr>
        <sz val="8"/>
        <color indexed="8"/>
        <rFont val="Tahoma"/>
        <family val="2"/>
        <charset val="204"/>
      </rPr>
      <t>, внутризоновая и международная телнфонная связь</t>
    </r>
  </si>
  <si>
    <r>
      <t xml:space="preserve"> </t>
    </r>
    <r>
      <rPr>
        <b/>
        <sz val="8"/>
        <color indexed="8"/>
        <rFont val="Tahoma"/>
        <family val="2"/>
        <charset val="204"/>
      </rPr>
      <t>местная</t>
    </r>
    <r>
      <rPr>
        <sz val="8"/>
        <color indexed="8"/>
        <rFont val="Tahoma"/>
        <family val="2"/>
        <charset val="204"/>
      </rPr>
      <t xml:space="preserve"> телефонная связь</t>
    </r>
  </si>
  <si>
    <r>
      <t>документальная</t>
    </r>
    <r>
      <rPr>
        <sz val="8"/>
        <color indexed="8"/>
        <rFont val="Tahoma"/>
        <family val="2"/>
        <charset val="204"/>
      </rPr>
      <t xml:space="preserve"> электросвязь</t>
    </r>
  </si>
  <si>
    <r>
      <t>подвижная</t>
    </r>
    <r>
      <rPr>
        <sz val="8"/>
        <color indexed="8"/>
        <rFont val="Tahoma"/>
        <family val="2"/>
        <charset val="204"/>
      </rPr>
      <t xml:space="preserve"> связь</t>
    </r>
  </si>
  <si>
    <r>
      <t>Плотност</t>
    </r>
    <r>
      <rPr>
        <sz val="8"/>
        <color indexed="8"/>
        <rFont val="Tahoma"/>
        <family val="2"/>
        <charset val="204"/>
      </rPr>
      <t>ь телефонных аппаратов фиксированной электросвязи на 100 человек населения</t>
    </r>
  </si>
  <si>
    <r>
      <t>Количество</t>
    </r>
    <r>
      <rPr>
        <sz val="8"/>
        <color indexed="8"/>
        <rFont val="Tahoma"/>
        <family val="2"/>
        <charset val="204"/>
      </rPr>
      <t xml:space="preserve"> абонентов, подключенных к сетям подвижной связи</t>
    </r>
  </si>
  <si>
    <r>
      <t>Количество</t>
    </r>
    <r>
      <rPr>
        <sz val="8"/>
        <color indexed="8"/>
        <rFont val="Tahoma"/>
        <family val="2"/>
        <charset val="204"/>
      </rPr>
      <t xml:space="preserve"> почтовых ящиков на 10000 человек</t>
    </r>
  </si>
  <si>
    <r>
      <t xml:space="preserve"> Наличие</t>
    </r>
    <r>
      <rPr>
        <sz val="8"/>
        <color indexed="8"/>
        <rFont val="Tahoma"/>
        <family val="2"/>
        <charset val="204"/>
      </rPr>
      <t xml:space="preserve"> персональных компьютеров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</si>
  <si>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компьютеров на 100 человек населения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</si>
  <si>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пользователей Интернет на 100 человек населения</t>
    </r>
  </si>
  <si>
    <t>Валовой сбор сахарной свеклы (фабричной)</t>
  </si>
  <si>
    <t>Валовой сбор масличных культур – всего</t>
  </si>
  <si>
    <t>Производство скота и птицы на убой (в живом весе)</t>
  </si>
  <si>
    <t>Добыча газа горючего природного (естественного)</t>
  </si>
  <si>
    <t>Hапитки винные (виноградные и плодовые) с содержанием спирта до 20% объемных включительно</t>
  </si>
  <si>
    <t>Производство блоков и камней мелких стеновых (без блоков из ячеистого бетона)</t>
  </si>
  <si>
    <t>Индекс потребительских цен за период с начала года (на конец периода)</t>
  </si>
  <si>
    <t>Экспорт товаров</t>
  </si>
  <si>
    <t>Импорт товаров</t>
  </si>
  <si>
    <r>
      <t xml:space="preserve">Страны </t>
    </r>
    <r>
      <rPr>
        <b/>
        <sz val="8"/>
        <color indexed="8"/>
        <rFont val="Tahoma"/>
        <family val="2"/>
        <charset val="204"/>
      </rPr>
      <t>дальнего зарубежья</t>
    </r>
  </si>
  <si>
    <t>Объем инвестиций в основной капитал, финансируемых за счет собственных средств организаций</t>
  </si>
  <si>
    <t>Создание новой стоимости за год</t>
  </si>
  <si>
    <t>Ликвидация основных фондов по полной учетной стоимости за год</t>
  </si>
  <si>
    <r>
      <t>Справочно:</t>
    </r>
    <r>
      <rPr>
        <sz val="8"/>
        <color indexed="8"/>
        <rFont val="Tahoma"/>
        <family val="2"/>
      </rPr>
      <t xml:space="preserve"> сальдо прибылей и убытков</t>
    </r>
  </si>
  <si>
    <t xml:space="preserve">Средний размер назначенных месячных пенсий пенсионеров, состоящих на учете в системе Пенсионного фонда РФ, руб. </t>
  </si>
  <si>
    <t>Трудоспособные лица в трудоспособном возрасте, не занятые трудовой деятельностью и учебой</t>
  </si>
  <si>
    <t xml:space="preserve"> мест на 10 тыс. населения</t>
  </si>
  <si>
    <t>мест на 1 000 детей в возрасте 1-6 лет</t>
  </si>
  <si>
    <t>Общая площадь жилых помещений, приходящаяся в среднем на 1 жителя  (на конец года)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</si>
  <si>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</si>
  <si>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</si>
  <si>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Сброс загрязненных сточных вод в поверхностные водные объекты (данные Росводресурсов)</t>
  </si>
  <si>
    <t>Индексы цен на услуги в сфере внутреннего туризма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</si>
  <si>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</si>
  <si>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</si>
  <si>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</si>
  <si>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</si>
  <si>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</si>
  <si>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</si>
  <si>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Численность безработных, рассчитанная по методологии МОТ</t>
  </si>
  <si>
    <t xml:space="preserve">млн.руб. </t>
  </si>
  <si>
    <t>ИЗ СТРАН СНГ:</t>
  </si>
  <si>
    <t>Реальные располагаемые денежные доходы населения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</si>
  <si>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</si>
  <si>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</si>
  <si>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</si>
  <si>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</si>
  <si>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</si>
  <si>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</si>
  <si>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</si>
  <si>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</si>
  <si>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</si>
  <si>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</si>
  <si>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</si>
  <si>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</si>
  <si>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Обеспеченность: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</si>
  <si>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</si>
  <si>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</si>
  <si>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</si>
  <si>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</si>
  <si>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</si>
  <si>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</si>
  <si>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</si>
  <si>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</si>
  <si>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</si>
  <si>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</si>
  <si>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</si>
  <si>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</si>
  <si>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</si>
  <si>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</si>
  <si>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</si>
  <si>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</si>
  <si>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</si>
  <si>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</si>
  <si>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</si>
  <si>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</si>
  <si>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</si>
  <si>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</si>
  <si>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</si>
  <si>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</si>
  <si>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</si>
  <si>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</si>
  <si>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</si>
  <si>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</si>
  <si>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</si>
  <si>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</si>
  <si>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</si>
  <si>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</si>
  <si>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Забайкальский край</t>
  </si>
  <si>
    <t>Камчатский край</t>
  </si>
  <si>
    <t>млн. тонн</t>
  </si>
  <si>
    <t>Яйца</t>
  </si>
  <si>
    <t>Уголь</t>
  </si>
  <si>
    <t>Топливо дизельное</t>
  </si>
  <si>
    <t>Мазут топочный</t>
  </si>
  <si>
    <t>Бумага</t>
  </si>
  <si>
    <t>Холодильники и морозильники бытовые</t>
  </si>
  <si>
    <t>Обувь</t>
  </si>
  <si>
    <t>млн. пар</t>
  </si>
  <si>
    <t>Водка</t>
  </si>
  <si>
    <t>Трикотажные изделия</t>
  </si>
  <si>
    <t>млн. кв. м</t>
  </si>
  <si>
    <t>Автомобили грузовые (включая шасси)</t>
  </si>
  <si>
    <t>Прокат готовый черных металлов</t>
  </si>
  <si>
    <t>Удобрения минеральные или химические в пересчете на 100% питательных веществ</t>
  </si>
  <si>
    <t>Рыба и продукты рыбные переработанные и консервированные</t>
  </si>
  <si>
    <t>Тракторы для сельского и лесного хозяйства прочие</t>
  </si>
  <si>
    <t>млрд. кВт. ч</t>
  </si>
  <si>
    <t>Газ природный и попутный</t>
  </si>
  <si>
    <t xml:space="preserve">млрд. куб. м </t>
  </si>
  <si>
    <t>Древесина необработанная</t>
  </si>
  <si>
    <t>млн. куб. м</t>
  </si>
  <si>
    <t>Молоко</t>
  </si>
  <si>
    <t xml:space="preserve">Объем отгруженных товаров собственного производства, выполненных работ и услуг собственными силами - Подраздел DF: Производство кокса, нефтепродуктов </t>
  </si>
  <si>
    <t xml:space="preserve">Индекс производства -  Подраздел DF: Производство кокса, нефтепродуктов 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</si>
  <si>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</si>
  <si>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</si>
  <si>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</si>
  <si>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</si>
  <si>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</si>
  <si>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</si>
  <si>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</si>
  <si>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</si>
  <si>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</si>
  <si>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</si>
  <si>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</si>
  <si>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</si>
  <si>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</si>
  <si>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</si>
  <si>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</si>
  <si>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</si>
  <si>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Число зарегистрированных преступлений</t>
  </si>
  <si>
    <t>Индекс физического объема</t>
  </si>
  <si>
    <t>Индекс-дефлятор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</si>
  <si>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</si>
  <si>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</si>
  <si>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</si>
  <si>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</si>
  <si>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</si>
  <si>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</si>
  <si>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</si>
  <si>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</si>
  <si>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</si>
  <si>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</si>
  <si>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</si>
  <si>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</si>
  <si>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</si>
  <si>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</si>
  <si>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Электроэнергия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</si>
  <si>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</si>
  <si>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</si>
  <si>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</si>
  <si>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</si>
  <si>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</si>
  <si>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</si>
  <si>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</si>
  <si>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</si>
  <si>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</si>
  <si>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</si>
  <si>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</si>
  <si>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</si>
  <si>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</si>
  <si>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</si>
  <si>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</si>
  <si>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</si>
  <si>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</si>
  <si>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</si>
  <si>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</si>
  <si>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</si>
  <si>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</si>
  <si>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</si>
  <si>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</si>
  <si>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</si>
  <si>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</si>
  <si>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</si>
  <si>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</si>
  <si>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</si>
  <si>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</si>
  <si>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</si>
  <si>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</si>
  <si>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</si>
  <si>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</si>
  <si>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</si>
  <si>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</si>
  <si>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</si>
  <si>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</si>
  <si>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</si>
  <si>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</si>
  <si>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</si>
  <si>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</si>
  <si>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</si>
  <si>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</si>
  <si>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</si>
  <si>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</si>
  <si>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</si>
  <si>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</si>
  <si>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</si>
  <si>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</si>
  <si>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</si>
  <si>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</si>
  <si>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</si>
  <si>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</si>
  <si>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</si>
  <si>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</si>
  <si>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</si>
  <si>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</si>
  <si>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</si>
  <si>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</si>
  <si>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</si>
  <si>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</si>
  <si>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</si>
  <si>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</si>
  <si>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</si>
  <si>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</si>
  <si>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</si>
  <si>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</si>
  <si>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</si>
  <si>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</si>
  <si>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</si>
  <si>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</si>
  <si>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</si>
  <si>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</si>
  <si>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</si>
  <si>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</si>
  <si>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</si>
  <si>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</si>
  <si>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</si>
  <si>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</si>
  <si>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</si>
  <si>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</si>
  <si>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</si>
  <si>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</si>
  <si>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</si>
  <si>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</si>
  <si>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</si>
  <si>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</si>
  <si>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</si>
  <si>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</si>
  <si>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</si>
  <si>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</si>
  <si>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</si>
  <si>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</si>
  <si>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</si>
  <si>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</si>
  <si>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</si>
  <si>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Среднесписочная численность работников (без внешних совместителей) по малым предприятиям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</si>
  <si>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</si>
  <si>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</si>
  <si>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</si>
  <si>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</si>
  <si>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</si>
  <si>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</si>
  <si>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</si>
  <si>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</si>
  <si>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</si>
  <si>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</si>
  <si>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</si>
  <si>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</si>
  <si>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</si>
  <si>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</si>
  <si>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</si>
  <si>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</si>
  <si>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</si>
  <si>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</si>
  <si>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</si>
  <si>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</si>
  <si>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</si>
  <si>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</si>
  <si>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</si>
  <si>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</si>
  <si>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</si>
  <si>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</si>
  <si>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</si>
  <si>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</si>
  <si>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</si>
  <si>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</si>
  <si>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</si>
  <si>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</si>
  <si>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</si>
  <si>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</si>
  <si>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</si>
  <si>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Нефть добытая, включая газовый конденсат</t>
  </si>
  <si>
    <t>Сахар белый свекловичный в твердом состоянии</t>
  </si>
  <si>
    <t>Масло подсолнечное нерафинированное и его фракции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</si>
  <si>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</si>
  <si>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</si>
  <si>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</si>
  <si>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</si>
  <si>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</si>
  <si>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</si>
  <si>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</si>
  <si>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</si>
  <si>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</si>
  <si>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</si>
  <si>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</si>
  <si>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</si>
  <si>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</si>
  <si>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</si>
  <si>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</si>
  <si>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</si>
  <si>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</si>
  <si>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</si>
  <si>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</si>
  <si>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</si>
  <si>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</si>
  <si>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</si>
  <si>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</si>
  <si>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</si>
  <si>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</si>
  <si>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</si>
  <si>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</si>
  <si>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</si>
  <si>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</si>
  <si>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</si>
  <si>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</si>
  <si>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</si>
  <si>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</si>
  <si>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</si>
  <si>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</si>
  <si>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</si>
  <si>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</si>
  <si>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</si>
  <si>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</si>
  <si>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</si>
  <si>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</si>
  <si>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</si>
  <si>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</si>
  <si>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</si>
  <si>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</si>
  <si>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</si>
  <si>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</si>
  <si>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</si>
  <si>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</si>
  <si>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</si>
  <si>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</si>
  <si>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</si>
  <si>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</si>
  <si>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</si>
  <si>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</si>
  <si>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</si>
  <si>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</si>
  <si>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</si>
  <si>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</si>
  <si>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</si>
  <si>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</si>
  <si>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</si>
  <si>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</si>
  <si>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</si>
  <si>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</si>
  <si>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</si>
  <si>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</si>
  <si>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</si>
  <si>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</si>
  <si>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</si>
  <si>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</si>
  <si>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</si>
  <si>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</si>
  <si>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</si>
  <si>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млн.руб.</t>
  </si>
  <si>
    <t>1. Демографические показатели</t>
  </si>
  <si>
    <t>% к предыдущему году</t>
  </si>
  <si>
    <t>Общий коэффициент рождаемости</t>
  </si>
  <si>
    <t>Общий коэффициент смертности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</si>
  <si>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</si>
  <si>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</si>
  <si>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</si>
  <si>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</si>
  <si>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</si>
  <si>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млн. руб. в ценах соответствующих лет</t>
  </si>
  <si>
    <t>% к предыдущему году в сопоставимых ценах</t>
  </si>
  <si>
    <t>2.3.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</si>
  <si>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</si>
  <si>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</si>
  <si>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</si>
  <si>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</si>
  <si>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</si>
  <si>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</si>
  <si>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</si>
  <si>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</si>
  <si>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</si>
  <si>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</si>
  <si>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</si>
  <si>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</si>
  <si>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</si>
  <si>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</si>
  <si>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</si>
  <si>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</si>
  <si>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</si>
  <si>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</si>
  <si>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</si>
  <si>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</si>
  <si>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</si>
  <si>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</si>
  <si>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 xml:space="preserve">       в том числе: средства от эмиссии акций </t>
  </si>
  <si>
    <t xml:space="preserve">% к предыдущему году </t>
  </si>
  <si>
    <t>Индекс-дефлятор -  38.9: Производство машин и оборудования (без производства оружия и боеприпасов)</t>
  </si>
  <si>
    <t>млн. кВт. ч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</si>
  <si>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</si>
  <si>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</si>
  <si>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</si>
  <si>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</si>
  <si>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</si>
  <si>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</si>
  <si>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</si>
  <si>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</si>
  <si>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</si>
  <si>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</si>
  <si>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</si>
  <si>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</si>
  <si>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</si>
  <si>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</si>
  <si>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</si>
  <si>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</si>
  <si>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Уточненно по СПРАВКЕ СЭР (расчет в "Показателях СЭР"/Диаграммы)</t>
  </si>
  <si>
    <t>Обязательно проверить и скорреитровать</t>
  </si>
  <si>
    <t>1. Население</t>
  </si>
  <si>
    <t>Все население</t>
  </si>
  <si>
    <t>Городское население</t>
  </si>
  <si>
    <t>Сельское население</t>
  </si>
  <si>
    <t>Число прибывших на территорию региона</t>
  </si>
  <si>
    <t>Число выбывших стерритории региона</t>
  </si>
  <si>
    <t>Темп роста отгрузки - РАЗДЕЛ С: Добыча полезных ископаемых</t>
  </si>
  <si>
    <t>% к предыдущему году в действующих цеах</t>
  </si>
  <si>
    <t>Темп роста отгрузки - Подраздел CA: Добыча топливно-энергетических полезных ископаемых</t>
  </si>
  <si>
    <t>% к предыдущему году в действующих ценах</t>
  </si>
  <si>
    <t>Темп роста отгрузки - Подраздел CB: Добыча полезных ископаемых, кроме топливно-энергетических</t>
  </si>
  <si>
    <t>Темп роста отгрузки - РАЗДЕЛ D: Обрабатывающие производства</t>
  </si>
  <si>
    <t>Темп роста отгрузки -Подраздел DA: Производство пищевых продуктов, включая напитки, и табака</t>
  </si>
  <si>
    <t>Темп роста отгрузки -Подраздел DC: Производство кожи, изделий из кожи и производство обуви</t>
  </si>
  <si>
    <t>Темп отгрузки -Подраздел DD: Обработка древесины и производство изделий из дерева</t>
  </si>
  <si>
    <t>Темп роста отгрузки - Подраздел DE: Целлюлозно-бумажное производство; издательская и полиграфическая деятельность</t>
  </si>
  <si>
    <t xml:space="preserve">Темп роста отгрузки - Подраздел DF: Производство кокса, нефтепродуктов </t>
  </si>
  <si>
    <t>Темп роста отгрузки - Подраздел DG: Химическое производство</t>
  </si>
  <si>
    <t>Темп роста отгрузки - Подраздел DH: Производство резиновых и пластмассовых изделий</t>
  </si>
  <si>
    <t>Темп роста отгрузки - Подраздел DI: Производство прочих неметаллических минеральных продуктов</t>
  </si>
  <si>
    <t>Темп роста отгрузки -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</si>
  <si>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Подраздел DK: Производство машин и оборудования (без производства оружия и боеприпасов)</t>
  </si>
  <si>
    <t>Темп роста отгрузки - Подраздел DK: Производство машин и оборудования (без производства оружия и боеприпасов)</t>
  </si>
  <si>
    <t>Индекс-дефлятор отрузки - Подраздел DK: Производство машин и оборудования (без производства оружия и боеприпасов)</t>
  </si>
  <si>
    <t>Индекс производства - Подраздел DK: Производство машин и оборудования</t>
  </si>
  <si>
    <t>Темп роста отгрузки - Подраздел DL: Производство электрооборудования, электронного и оптического оборудования</t>
  </si>
  <si>
    <t>Темп роста отгрузки - Подраздел DM: Производство транспортных средств и оборудования</t>
  </si>
  <si>
    <t>Темп роста отгрузки - Подраздел DN: Прочие производства</t>
  </si>
  <si>
    <t>Темп роста отгрузки - РАЗДЕЛ E: Производство и распределение электроэнергии, газа и воды</t>
  </si>
  <si>
    <t>Индекс тарифов  по категориям потребителей</t>
  </si>
  <si>
    <t xml:space="preserve">Продукция сельского хозяйства </t>
  </si>
  <si>
    <t>Индекс производства продукции сельского хозяйства</t>
  </si>
  <si>
    <t>Плотность автомобильных дорог общего пользования с твердым покрытием</t>
  </si>
  <si>
    <t>Плотность железнодорожных путей общего пользования</t>
  </si>
  <si>
    <t>на конец года; км путей на 10000 кв.км территории</t>
  </si>
  <si>
    <t xml:space="preserve"> - всего</t>
  </si>
  <si>
    <t>Объем  услуг связи</t>
  </si>
  <si>
    <t xml:space="preserve"> в ценах соответствующих летмлрд. руб.</t>
  </si>
  <si>
    <t>Валовой сбор семян масличных культур – всего</t>
  </si>
  <si>
    <t>Скот и птица на убой (в живом весе)</t>
  </si>
  <si>
    <t>Спирт этиловый ректификованный из пищевого сырья</t>
  </si>
  <si>
    <t>Коньяк</t>
  </si>
  <si>
    <t>Вина плодовые столовые, кроме сидра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</si>
  <si>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</si>
  <si>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</si>
  <si>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Масла нефтяные смазочные</t>
  </si>
  <si>
    <t>млн.тонн</t>
  </si>
  <si>
    <r>
      <t>Топливо печное бытовое</t>
    </r>
    <r>
      <rPr>
        <b/>
        <sz val="8"/>
        <color indexed="8"/>
        <rFont val="Times New Roman"/>
        <family val="1"/>
        <charset val="204"/>
      </rPr>
      <t>,</t>
    </r>
    <r>
      <rPr>
        <b/>
        <sz val="8"/>
        <color indexed="8"/>
        <rFont val="Tahoma"/>
        <family val="2"/>
        <charset val="204"/>
      </rPr>
      <t xml:space="preserve"> </t>
    </r>
    <r>
      <rPr>
        <sz val="8"/>
        <color indexed="8"/>
        <rFont val="Tahoma"/>
        <family val="2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</si>
  <si>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Кирпич строительный (включая камни) из цемента, бетона или искусственного камня</t>
  </si>
  <si>
    <t>Полимеры этилена в первичных формах</t>
  </si>
  <si>
    <t>Изделия ювилирные и их части</t>
  </si>
  <si>
    <t>в том числе произведенная:</t>
  </si>
  <si>
    <t>атомными электростанциями</t>
  </si>
  <si>
    <t>тепловыми электростанциями</t>
  </si>
  <si>
    <t>Гидроэлектростанциями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</si>
  <si>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</si>
  <si>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</si>
  <si>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</si>
  <si>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 xml:space="preserve">  3. Торговля и услуги населению</t>
  </si>
  <si>
    <t>в ценах соответствующих лет, млн. руб.</t>
  </si>
  <si>
    <t>Распределение оборота розничной торговли по формам собственности</t>
  </si>
  <si>
    <t>Государственная и муниципальная</t>
  </si>
  <si>
    <t>в ценах соответствующих лет; % от общего объема оборота розничной торговли субъекта Российской Федерации</t>
  </si>
  <si>
    <t>Частная</t>
  </si>
  <si>
    <t>Другие формы собственности</t>
  </si>
  <si>
    <t>Распределение оборота розничной торговли по формам торговли</t>
  </si>
  <si>
    <t>Оборот розничной торговли торгующих организаций и индивидуальных предпринимателей, осуществляющих деятельность вне рынка</t>
  </si>
  <si>
    <t>в ценах соответствующих лет; млн. руб.</t>
  </si>
  <si>
    <t>Продажа на розничных рынках и ярмарках</t>
  </si>
  <si>
    <t xml:space="preserve">Оборот розничной торговли по торговым сетям </t>
  </si>
  <si>
    <t>% от оборота розничной торговли</t>
  </si>
  <si>
    <t>Структура оборота розничной торговли</t>
  </si>
  <si>
    <t>Пищевые продукты, включая напитки, и табачные изделия</t>
  </si>
  <si>
    <t>в ценах соответствующих лет; % от оборота розничной торговли субъекта Российской Федерации</t>
  </si>
  <si>
    <t>Непродовольственные товары</t>
  </si>
  <si>
    <t>Продовольственные товары и сельскохозяйственное сырье (группы 01-24)</t>
  </si>
  <si>
    <t>текстильное и швейное производсвто</t>
  </si>
  <si>
    <t xml:space="preserve">Продукция химической промышленности, каучук (группы 28-40) </t>
  </si>
  <si>
    <t>Машины, оборудование и транспортные средства (группы 84-90)</t>
  </si>
  <si>
    <t>Металлы и изделия из них (группы 72-83)</t>
  </si>
  <si>
    <t>Древесина и целлюлозно-бумажные изделия (группы 44-49)</t>
  </si>
  <si>
    <t>Продукция топливно-энергетического комплекса (группы 27)</t>
  </si>
  <si>
    <t>Продукция топливно-энергетического комплекса (группа 27)</t>
  </si>
  <si>
    <t>Текстильное и швейное производство (группы 50 - 67)</t>
  </si>
  <si>
    <t>5.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</si>
  <si>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</si>
  <si>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</si>
  <si>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микропередприятия</t>
  </si>
  <si>
    <t xml:space="preserve">млрд. руб. </t>
  </si>
  <si>
    <t>Инвестиций в основной капитал</t>
  </si>
  <si>
    <t xml:space="preserve">в ценах соответствующих лет, млн. руб. 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</si>
  <si>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методами):</t>
  </si>
  <si>
    <t>Собственные средства</t>
  </si>
  <si>
    <t>Привлеченные средства</t>
  </si>
  <si>
    <t>Кредиты банков</t>
  </si>
  <si>
    <t>Заемные средства других организаций</t>
  </si>
  <si>
    <t>Бюджетные средства</t>
  </si>
  <si>
    <t>федеральный бюджет</t>
  </si>
  <si>
    <t>бюджеты субъектов Российской Федерации</t>
  </si>
  <si>
    <t>из местных бюджетов</t>
  </si>
  <si>
    <t xml:space="preserve">Прочие  </t>
  </si>
  <si>
    <t>Ввод в действие основных фондов в ценах соответствующих лет</t>
  </si>
  <si>
    <t>7. Консолидированный бюджет субъекта Российской Федерации (включая местные бюджеты без учета территориальных внебюджетных фондов)</t>
  </si>
  <si>
    <t>Налоговые и неналоговые доходы всего</t>
  </si>
  <si>
    <t>Налоговые доходы консолидированного бюджета субъекта Российской Федерации - всего</t>
  </si>
  <si>
    <t>в том числе</t>
  </si>
  <si>
    <t>транспортный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</si>
  <si>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</si>
  <si>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</si>
  <si>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</t>
  </si>
  <si>
    <t>дотации на выравнивание бюджетной обеспеченности</t>
  </si>
  <si>
    <t>Доходы консолидированного бюджета субъекта Российской Федерации (МО г.Саяногорск) всего</t>
  </si>
  <si>
    <t>налог, взимаемый в связи с применением упрощенной системы налогообложения</t>
  </si>
  <si>
    <t>налог на игорный бизнес</t>
  </si>
  <si>
    <t>Земельный налог</t>
  </si>
  <si>
    <t>Расходы консолидированного бюджета субъекта Российской Федерации  (МО г.Саяногорск) - всего</t>
  </si>
  <si>
    <t>физическая культура и спорт</t>
  </si>
  <si>
    <t>здравоохранение</t>
  </si>
  <si>
    <t>средства массовой информации</t>
  </si>
  <si>
    <t xml:space="preserve"> Дефицит(-),профицит(+) консолидированного бюджета субъекта Российской Федерации</t>
  </si>
  <si>
    <t>Государственный долг субъекта Российской Федерации и входящих в его состав муниципальных образований</t>
  </si>
  <si>
    <t>оплата труда</t>
  </si>
  <si>
    <t>другие доходы (включая "скрытые", от продажи валюты, денежные переводы и пр.)</t>
  </si>
  <si>
    <t>социальные выплаты</t>
  </si>
  <si>
    <t>Реальные денежные доходы населения</t>
  </si>
  <si>
    <t>Среднедушевые денежные доходы</t>
  </si>
  <si>
    <t>Величина прожиточного минимума (в среднем на душу населения)</t>
  </si>
  <si>
    <t xml:space="preserve">Средний размер назначенных пенсий </t>
  </si>
  <si>
    <t>% от общей численности населения МО</t>
  </si>
  <si>
    <t>Численность населения с денежными доходами ниже прожиточного минимума</t>
  </si>
  <si>
    <t>Численность экономически активного населения</t>
  </si>
  <si>
    <t>Среднегодовая численность занятых в экономике</t>
  </si>
  <si>
    <t>Среднемесячная номинальная начисленная заработная плата в целом по МО</t>
  </si>
  <si>
    <t>тыс.руб.</t>
  </si>
  <si>
    <t>в общественных объединениях и религиозных организациях</t>
  </si>
  <si>
    <t>смешанная российская</t>
  </si>
  <si>
    <t>иностранная, совестная российская и иностранная</t>
  </si>
  <si>
    <t>частная</t>
  </si>
  <si>
    <t>Уровень безработицы</t>
  </si>
  <si>
    <t>Уровень зарегистрированной безработицы (на конец года)</t>
  </si>
  <si>
    <t>Среднесписочная численность работников организаций (без внешних совместителей)</t>
  </si>
  <si>
    <t>Численность незанаятых граждан, зарегистрированных в  государственных учреждениях службы занятости населения, в расчете на одну заявленную вакансию(на конец года)</t>
  </si>
  <si>
    <t xml:space="preserve">Просроченная задолженность по заработной плате работников к месячному фонду заработной платы (без субъектов малого предпринимательства) </t>
  </si>
  <si>
    <t>на конец года %</t>
  </si>
  <si>
    <t>Численность обучающихся в образовательных  учреждениях (без вечерних (сменных) образовательных  учреждениях на начало учебного года):</t>
  </si>
  <si>
    <t xml:space="preserve">государственных и муниципальных </t>
  </si>
  <si>
    <t>Численность обучающихся в образовательных  учреждениях начального профессионального образования</t>
  </si>
  <si>
    <t>тыс.чел.</t>
  </si>
  <si>
    <t>Численность студентов в образовательных  учреждениях среднего профессионального образования (на начало учебного года)</t>
  </si>
  <si>
    <t>из них в государственных и муниципальных образовательныйх учреждениях</t>
  </si>
  <si>
    <t>Численность студентов в образовательных  учреждениях высшего профессионального образования (на начало учебного года)</t>
  </si>
  <si>
    <t>Выпуск специалистов образовательными учреждениями среднего профессионального образования</t>
  </si>
  <si>
    <t>Выпуск специалистов образовательными учреждениями высшего профессионального образования</t>
  </si>
  <si>
    <t>больничными койками на 10 000 человек населени</t>
  </si>
  <si>
    <t>коек</t>
  </si>
  <si>
    <t>мощность амбулаторно-поликлинических учреждений на 10 000 человек населения</t>
  </si>
  <si>
    <t>на конец года; посещений в смену</t>
  </si>
  <si>
    <t>Численность:</t>
  </si>
  <si>
    <t>врачей всех специальностей</t>
  </si>
  <si>
    <t>на конец года; чел.</t>
  </si>
  <si>
    <t>среднего медицинского персонала</t>
  </si>
  <si>
    <t>Текущие затраты на охрану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</si>
  <si>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</t>
  </si>
  <si>
    <t xml:space="preserve">в ценах соответствующих лет; млн.руб. </t>
  </si>
  <si>
    <t>Всего</t>
  </si>
  <si>
    <t>Выбросы загрязняющих веществ в атмосферный воздух, отходящих от стационарных источников</t>
  </si>
  <si>
    <t>Использование свежей воды</t>
  </si>
  <si>
    <t xml:space="preserve">Объем оборотнй ипоследовательно используемой воды </t>
  </si>
  <si>
    <t>Все страны</t>
  </si>
  <si>
    <t>Численность иностранных граждан, прибывших в регион по цели поездки туризм</t>
  </si>
  <si>
    <t>Страны вне СНГ</t>
  </si>
  <si>
    <t>Страны СНГ</t>
  </si>
  <si>
    <t>Численность российских граждан, выехавших за границу</t>
  </si>
  <si>
    <t>Индексы потребительских цен на услуги за период с начала года</t>
  </si>
  <si>
    <t>экскурсионные услуги</t>
  </si>
  <si>
    <t>санитарно-оздоровительные услуги</t>
  </si>
  <si>
    <t>услуги железнодорожного транспорта</t>
  </si>
  <si>
    <t>услуги воздушного транспорта</t>
  </si>
  <si>
    <t>услуги пассажирского транспорта</t>
  </si>
  <si>
    <t>количество российских посетителей из других регионов (резидентов)</t>
  </si>
  <si>
    <t>га</t>
  </si>
  <si>
    <t>кв.км.</t>
  </si>
  <si>
    <t>км. дорог</t>
  </si>
  <si>
    <t>Коофициент обновления основных средств</t>
  </si>
  <si>
    <t>Приложение №2</t>
  </si>
  <si>
    <t xml:space="preserve">к Постановлению Администрации </t>
  </si>
  <si>
    <t xml:space="preserve">муниципального образования г.Саяногорск </t>
  </si>
  <si>
    <t xml:space="preserve"> Прогноз социально-экономического развития  муниципального образования город Саяногорск на 2016 год и на период до 2018 года
</t>
  </si>
  <si>
    <t>Управляющий делами Администрации</t>
  </si>
  <si>
    <t xml:space="preserve">         В.П. Клундук</t>
  </si>
  <si>
    <t>№1045 от 13.11.2015г.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</si>
</sst>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0.000"/>
    <numFmt numFmtId="165" formatCode="0.0"/>
    <numFmt numFmtId="166" formatCode="#,##0.0"/>
    <numFmt numFmtId="167" formatCode="0.0%"/>
    <numFmt numFmtId="168" formatCode="_-* #,##0.0_р_._-;\-* #,##0.0_р_._-;_-* &quot;-&quot;??_р_._-;_-@_-"/>
    <numFmt numFmtId="169" formatCode="_-* #,##0.0;\-* #,##0.0_-;_-* &quot;&quot;??_-;_-@_-"/>
    <numFmt numFmtId="170" formatCode="_-* #,##0;\-* #,##0_-;_-* &quot;&quot;??_-;_-@_-"/>
    <numFmt numFmtId="171" formatCode="#,##0.000"/>
    <numFmt numFmtId="172" formatCode="_-* #,##0.00;\-* #,##0.00_-;_-* &quot;&quot;??_-;_-@_-"/>
  </numFmts>
  <fonts count="116" x14ac:knownFonts="1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sz val="7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sz val="11"/>
      <color indexed="8"/>
      <name val="Tahoma"/>
      <family val="2"/>
    </font>
    <font>
      <b/>
      <sz val="7"/>
      <color indexed="8"/>
      <name val="Tahoma"/>
      <family val="2"/>
      <charset val="204"/>
    </font>
    <font>
      <b/>
      <sz val="8"/>
      <color indexed="8"/>
      <name val="Tahoma"/>
      <family val="2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strike/>
      <sz val="8"/>
      <color indexed="8"/>
      <name val="Tahoma"/>
      <family val="2"/>
    </font>
    <font>
      <strike/>
      <sz val="7"/>
      <color indexed="8"/>
      <name val="Tahoma"/>
      <family val="2"/>
    </font>
    <font>
      <b/>
      <strike/>
      <sz val="8"/>
      <color indexed="8"/>
      <name val="Tahoma"/>
      <family val="2"/>
    </font>
    <font>
      <i/>
      <sz val="8"/>
      <color indexed="8"/>
      <name val="Tahoma"/>
      <family val="2"/>
    </font>
    <font>
      <b/>
      <i/>
      <sz val="8"/>
      <color indexed="8"/>
      <name val="Tahoma"/>
      <family val="2"/>
    </font>
    <font>
      <sz val="8"/>
      <name val="Tahoma"/>
      <family val="2"/>
      <charset val="204"/>
    </font>
    <font>
      <sz val="7"/>
      <name val="Tahoma"/>
      <family val="2"/>
      <charset val="204"/>
    </font>
    <font>
      <b/>
      <sz val="8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b/>
      <sz val="7"/>
      <name val="Tahoma"/>
      <family val="2"/>
      <charset val="204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7"/>
      <name val="Tahoma"/>
      <family val="2"/>
      <charset val="204"/>
    </font>
    <font>
      <i/>
      <sz val="9"/>
      <name val="Tahoma"/>
      <family val="2"/>
      <charset val="204"/>
    </font>
    <font>
      <i/>
      <sz val="10"/>
      <name val="Tahoma"/>
      <family val="2"/>
      <charset val="204"/>
    </font>
    <font>
      <sz val="9"/>
      <color indexed="8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indexed="10"/>
      <name val="Tahoma"/>
      <family val="2"/>
      <charset val="204"/>
    </font>
    <font>
      <sz val="10"/>
      <color indexed="10"/>
      <name val="Tahoma"/>
      <family val="2"/>
      <charset val="204"/>
    </font>
    <font>
      <sz val="10"/>
      <color indexed="12"/>
      <name val="Tahoma"/>
      <family val="2"/>
      <charset val="204"/>
    </font>
    <font>
      <i/>
      <sz val="10"/>
      <color indexed="12"/>
      <name val="Tahoma"/>
      <family val="2"/>
      <charset val="204"/>
    </font>
    <font>
      <i/>
      <sz val="10"/>
      <name val="Arial Cyr"/>
      <charset val="204"/>
    </font>
    <font>
      <b/>
      <sz val="10"/>
      <color indexed="12"/>
      <name val="Tahoma"/>
      <family val="2"/>
      <charset val="204"/>
    </font>
    <font>
      <b/>
      <sz val="9"/>
      <color indexed="12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color indexed="12"/>
      <name val="Tahoma"/>
      <family val="2"/>
      <charset val="204"/>
    </font>
    <font>
      <i/>
      <sz val="8"/>
      <color indexed="12"/>
      <name val="Tahoma"/>
      <family val="2"/>
      <charset val="204"/>
    </font>
    <font>
      <i/>
      <sz val="8"/>
      <color indexed="14"/>
      <name val="Tahoma"/>
      <family val="2"/>
      <charset val="204"/>
    </font>
    <font>
      <i/>
      <sz val="7"/>
      <name val="Arial Cyr"/>
      <charset val="204"/>
    </font>
    <font>
      <i/>
      <sz val="7"/>
      <color indexed="14"/>
      <name val="Tahoma"/>
      <family val="2"/>
      <charset val="204"/>
    </font>
    <font>
      <sz val="7"/>
      <name val="Arial Cyr"/>
      <charset val="204"/>
    </font>
    <font>
      <sz val="7"/>
      <color indexed="12"/>
      <name val="Tahoma"/>
      <family val="2"/>
      <charset val="204"/>
    </font>
    <font>
      <sz val="9"/>
      <color indexed="57"/>
      <name val="Tahoma"/>
      <family val="2"/>
      <charset val="204"/>
    </font>
    <font>
      <sz val="10"/>
      <color indexed="57"/>
      <name val="Tahoma"/>
      <family val="2"/>
      <charset val="204"/>
    </font>
    <font>
      <b/>
      <sz val="10"/>
      <color indexed="57"/>
      <name val="Tahoma"/>
      <family val="2"/>
      <charset val="204"/>
    </font>
    <font>
      <i/>
      <sz val="7"/>
      <name val="Times New Roman"/>
      <family val="1"/>
      <charset val="204"/>
    </font>
    <font>
      <i/>
      <sz val="7"/>
      <color indexed="14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i/>
      <sz val="7"/>
      <color indexed="12"/>
      <name val="Tahoma"/>
      <family val="2"/>
      <charset val="204"/>
    </font>
    <font>
      <i/>
      <sz val="7"/>
      <color indexed="8"/>
      <name val="Tahoma"/>
      <family val="2"/>
      <charset val="204"/>
    </font>
    <font>
      <i/>
      <sz val="7"/>
      <color indexed="57"/>
      <name val="Tahoma"/>
      <family val="2"/>
      <charset val="204"/>
    </font>
    <font>
      <i/>
      <sz val="7"/>
      <color indexed="57"/>
      <name val="Times New Roman"/>
      <family val="1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57"/>
      <name val="Tahoma"/>
      <family val="2"/>
      <charset val="204"/>
    </font>
    <font>
      <i/>
      <sz val="8"/>
      <color indexed="14"/>
      <name val="Times New Roman"/>
      <family val="1"/>
      <charset val="204"/>
    </font>
    <font>
      <b/>
      <sz val="8"/>
      <color indexed="57"/>
      <name val="Tahoma"/>
      <family val="2"/>
      <charset val="204"/>
    </font>
    <font>
      <sz val="8"/>
      <name val="Tahoma"/>
      <family val="2"/>
      <charset val="204"/>
    </font>
    <font>
      <i/>
      <sz val="10"/>
      <color indexed="8"/>
      <name val="Tahoma"/>
      <family val="2"/>
      <charset val="204"/>
    </font>
    <font>
      <sz val="8"/>
      <name val="Arial Cyr"/>
      <charset val="204"/>
    </font>
    <font>
      <b/>
      <sz val="8"/>
      <color indexed="8"/>
      <name val="Times New Roman"/>
      <family val="1"/>
      <charset val="204"/>
    </font>
    <font>
      <i/>
      <sz val="10"/>
      <color indexed="14"/>
      <name val="Tahoma"/>
      <family val="2"/>
      <charset val="204"/>
    </font>
    <font>
      <sz val="10"/>
      <color rgb="FFFF0000"/>
      <name val="Tahoma"/>
      <family val="2"/>
      <charset val="204"/>
    </font>
    <font>
      <i/>
      <sz val="7"/>
      <color rgb="FFFF0000"/>
      <name val="Times New Roman"/>
      <family val="1"/>
      <charset val="204"/>
    </font>
    <font>
      <b/>
      <i/>
      <sz val="7"/>
      <color rgb="FFFF0000"/>
      <name val="Times New Roman"/>
      <family val="1"/>
      <charset val="204"/>
    </font>
    <font>
      <sz val="10"/>
      <color rgb="FF006600"/>
      <name val="Tahoma"/>
      <family val="2"/>
      <charset val="204"/>
    </font>
    <font>
      <b/>
      <sz val="9"/>
      <color rgb="FF006600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rgb="FF0000CC"/>
      <name val="Tahoma"/>
      <family val="2"/>
      <charset val="204"/>
    </font>
    <font>
      <sz val="8"/>
      <color rgb="FF0000CC"/>
      <name val="Tahoma"/>
      <family val="2"/>
      <charset val="204"/>
    </font>
    <font>
      <sz val="7"/>
      <color rgb="FF0000CC"/>
      <name val="Tahoma"/>
      <family val="2"/>
      <charset val="204"/>
    </font>
    <font>
      <b/>
      <sz val="9"/>
      <color rgb="FF0000CC"/>
      <name val="Tahoma"/>
      <family val="2"/>
      <charset val="204"/>
    </font>
    <font>
      <sz val="10"/>
      <color rgb="FF0000CC"/>
      <name val="Tahoma"/>
      <family val="2"/>
      <charset val="204"/>
    </font>
    <font>
      <sz val="9"/>
      <color rgb="FF0000CC"/>
      <name val="Tahoma"/>
      <family val="2"/>
      <charset val="204"/>
    </font>
    <font>
      <b/>
      <sz val="10"/>
      <color rgb="FF0000CC"/>
      <name val="Tahoma"/>
      <family val="2"/>
      <charset val="204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599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49" fontId="20" fillId="0" borderId="20" xfId="0" applyNumberFormat="1" applyFont="1" applyFill="1" applyBorder="1" applyAlignment="1" applyProtection="1">
      <alignment horizontal="centerContinuous" vertical="center"/>
    </xf>
    <xf numFmtId="49" fontId="20" fillId="0" borderId="20" xfId="0" applyNumberFormat="1" applyFont="1" applyFill="1" applyBorder="1" applyAlignment="1" applyProtection="1">
      <alignment horizontal="centerContinuous" vertical="center" wrapText="1"/>
    </xf>
    <xf numFmtId="49" fontId="20" fillId="0" borderId="20" xfId="0" applyNumberFormat="1" applyFont="1" applyFill="1" applyBorder="1" applyAlignment="1" applyProtection="1">
      <alignment horizontal="center" vertical="center" wrapText="1"/>
    </xf>
    <xf numFmtId="49" fontId="20" fillId="0" borderId="20" xfId="0" applyNumberFormat="1" applyFont="1" applyFill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centerContinuous" vertical="center" wrapText="1"/>
    </xf>
    <xf numFmtId="0" fontId="20" fillId="0" borderId="20" xfId="0" applyFont="1" applyFill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horizontal="centerContinuous"/>
    </xf>
    <xf numFmtId="0" fontId="20" fillId="0" borderId="20" xfId="0" applyFont="1" applyFill="1" applyBorder="1" applyAlignment="1" applyProtection="1">
      <alignment horizontal="righ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centerContinuous" vertical="center" wrapText="1"/>
    </xf>
    <xf numFmtId="0" fontId="20" fillId="0" borderId="20" xfId="0" applyFont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 wrapText="1"/>
    </xf>
    <xf numFmtId="49" fontId="22" fillId="0" borderId="0" xfId="0" applyNumberFormat="1" applyFont="1" applyFill="1" applyAlignment="1" applyProtection="1">
      <alignment horizontal="centerContinuous" vertical="center"/>
    </xf>
    <xf numFmtId="0" fontId="24" fillId="0" borderId="0" xfId="0" applyFont="1" applyFill="1" applyAlignment="1" applyProtection="1">
      <alignment horizontal="centerContinuous" vertical="center"/>
    </xf>
    <xf numFmtId="0" fontId="24" fillId="0" borderId="0" xfId="0" applyFont="1" applyAlignment="1" applyProtection="1">
      <alignment horizontal="centerContinuous" vertical="center"/>
    </xf>
    <xf numFmtId="49" fontId="22" fillId="0" borderId="0" xfId="0" applyNumberFormat="1" applyFont="1" applyFill="1" applyAlignment="1" applyProtection="1">
      <alignment horizontal="centerContinuous" vertical="center" wrapText="1"/>
    </xf>
    <xf numFmtId="0" fontId="24" fillId="0" borderId="0" xfId="0" applyFont="1" applyFill="1" applyAlignment="1" applyProtection="1">
      <alignment horizontal="centerContinuous" vertical="center" wrapText="1"/>
    </xf>
    <xf numFmtId="0" fontId="24" fillId="0" borderId="0" xfId="0" applyFont="1" applyAlignment="1" applyProtection="1">
      <alignment horizontal="centerContinuous" vertical="center" wrapText="1"/>
    </xf>
    <xf numFmtId="0" fontId="23" fillId="0" borderId="0" xfId="0" applyFont="1" applyFill="1" applyProtection="1"/>
    <xf numFmtId="0" fontId="23" fillId="0" borderId="0" xfId="0" applyFont="1" applyFill="1" applyProtection="1">
      <protection locked="0"/>
    </xf>
    <xf numFmtId="49" fontId="23" fillId="0" borderId="0" xfId="0" applyNumberFormat="1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 applyProtection="1">
      <alignment horizontal="center"/>
    </xf>
    <xf numFmtId="49" fontId="23" fillId="0" borderId="0" xfId="0" applyNumberFormat="1" applyFont="1" applyFill="1" applyAlignment="1" applyProtection="1">
      <alignment horizontal="right"/>
    </xf>
    <xf numFmtId="49" fontId="23" fillId="0" borderId="0" xfId="0" applyNumberFormat="1" applyFont="1" applyFill="1" applyAlignment="1" applyProtection="1">
      <alignment horizontal="center" vertical="center"/>
    </xf>
    <xf numFmtId="49" fontId="23" fillId="0" borderId="0" xfId="0" applyNumberFormat="1" applyFont="1" applyFill="1" applyAlignment="1" applyProtection="1">
      <alignment horizontal="left"/>
    </xf>
    <xf numFmtId="0" fontId="24" fillId="0" borderId="0" xfId="0" applyFont="1" applyProtection="1"/>
    <xf numFmtId="0" fontId="24" fillId="0" borderId="0" xfId="0" applyFont="1" applyAlignment="1" applyProtection="1"/>
    <xf numFmtId="0" fontId="22" fillId="0" borderId="0" xfId="0" applyFont="1" applyFill="1" applyProtection="1"/>
    <xf numFmtId="0" fontId="22" fillId="0" borderId="0" xfId="0" applyFont="1" applyFill="1" applyProtection="1">
      <protection locked="0"/>
    </xf>
    <xf numFmtId="0" fontId="21" fillId="0" borderId="0" xfId="0" applyFont="1" applyFill="1" applyProtection="1"/>
    <xf numFmtId="0" fontId="23" fillId="0" borderId="0" xfId="0" applyFont="1" applyFill="1" applyBorder="1" applyProtection="1"/>
    <xf numFmtId="2" fontId="23" fillId="0" borderId="0" xfId="0" applyNumberFormat="1" applyFont="1" applyFill="1" applyProtection="1"/>
    <xf numFmtId="0" fontId="25" fillId="0" borderId="0" xfId="0" applyFont="1" applyFill="1" applyBorder="1" applyAlignment="1" applyProtection="1">
      <alignment horizontal="centerContinuous" vertical="top" wrapText="1"/>
    </xf>
    <xf numFmtId="0" fontId="21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0" fontId="0" fillId="0" borderId="0" xfId="0" applyNumberFormat="1" applyFill="1" applyProtection="1"/>
    <xf numFmtId="2" fontId="26" fillId="0" borderId="0" xfId="0" applyNumberFormat="1" applyFont="1" applyFill="1" applyBorder="1" applyAlignment="1">
      <alignment horizontal="right"/>
    </xf>
    <xf numFmtId="2" fontId="26" fillId="0" borderId="0" xfId="0" applyNumberFormat="1" applyFont="1" applyFill="1" applyBorder="1" applyAlignment="1" applyProtection="1">
      <alignment horizontal="right"/>
      <protection locked="0"/>
    </xf>
    <xf numFmtId="2" fontId="26" fillId="0" borderId="21" xfId="0" applyNumberFormat="1" applyFont="1" applyFill="1" applyBorder="1" applyAlignment="1" applyProtection="1">
      <alignment horizontal="right"/>
      <protection locked="0"/>
    </xf>
    <xf numFmtId="2" fontId="26" fillId="0" borderId="22" xfId="0" applyNumberFormat="1" applyFont="1" applyFill="1" applyBorder="1" applyAlignment="1" applyProtection="1">
      <alignment horizontal="right"/>
      <protection locked="0"/>
    </xf>
    <xf numFmtId="2" fontId="26" fillId="0" borderId="23" xfId="0" applyNumberFormat="1" applyFont="1" applyFill="1" applyBorder="1" applyAlignment="1" applyProtection="1">
      <alignment horizontal="right"/>
      <protection locked="0"/>
    </xf>
    <xf numFmtId="2" fontId="26" fillId="0" borderId="24" xfId="0" applyNumberFormat="1" applyFont="1" applyFill="1" applyBorder="1" applyAlignment="1" applyProtection="1">
      <alignment horizontal="right"/>
      <protection locked="0"/>
    </xf>
    <xf numFmtId="2" fontId="26" fillId="0" borderId="25" xfId="0" applyNumberFormat="1" applyFont="1" applyFill="1" applyBorder="1" applyAlignment="1" applyProtection="1">
      <alignment horizontal="right"/>
      <protection locked="0"/>
    </xf>
    <xf numFmtId="2" fontId="26" fillId="0" borderId="26" xfId="0" applyNumberFormat="1" applyFont="1" applyFill="1" applyBorder="1" applyAlignment="1" applyProtection="1">
      <alignment horizontal="right"/>
      <protection locked="0"/>
    </xf>
    <xf numFmtId="2" fontId="9" fillId="0" borderId="24" xfId="0" applyNumberFormat="1" applyFont="1" applyFill="1" applyBorder="1" applyAlignment="1" applyProtection="1">
      <alignment horizontal="right"/>
      <protection locked="0"/>
    </xf>
    <xf numFmtId="2" fontId="26" fillId="0" borderId="27" xfId="0" applyNumberFormat="1" applyFont="1" applyFill="1" applyBorder="1" applyAlignment="1" applyProtection="1">
      <alignment horizontal="right"/>
      <protection locked="0"/>
    </xf>
    <xf numFmtId="2" fontId="26" fillId="0" borderId="28" xfId="0" applyNumberFormat="1" applyFont="1" applyFill="1" applyBorder="1" applyAlignment="1" applyProtection="1">
      <alignment horizontal="right"/>
      <protection locked="0"/>
    </xf>
    <xf numFmtId="2" fontId="26" fillId="0" borderId="29" xfId="0" applyNumberFormat="1" applyFont="1" applyFill="1" applyBorder="1" applyAlignment="1" applyProtection="1">
      <alignment horizontal="right"/>
      <protection locked="0"/>
    </xf>
    <xf numFmtId="0" fontId="28" fillId="2" borderId="30" xfId="0" applyFont="1" applyFill="1" applyBorder="1" applyAlignment="1" applyProtection="1">
      <alignment horizontal="left" vertical="center" wrapText="1"/>
    </xf>
    <xf numFmtId="0" fontId="29" fillId="2" borderId="30" xfId="0" applyFont="1" applyFill="1" applyBorder="1" applyAlignment="1" applyProtection="1">
      <alignment horizontal="center" vertical="center" wrapText="1"/>
    </xf>
    <xf numFmtId="2" fontId="30" fillId="0" borderId="31" xfId="0" applyNumberFormat="1" applyFont="1" applyFill="1" applyBorder="1" applyAlignment="1" applyProtection="1">
      <alignment horizontal="center" vertical="center"/>
      <protection locked="0"/>
    </xf>
    <xf numFmtId="2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Protection="1"/>
    <xf numFmtId="0" fontId="30" fillId="2" borderId="20" xfId="0" applyFont="1" applyFill="1" applyBorder="1" applyAlignment="1" applyProtection="1">
      <alignment horizontal="left" vertical="center" wrapText="1" indent="1"/>
    </xf>
    <xf numFmtId="0" fontId="31" fillId="2" borderId="20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right" vertical="center"/>
    </xf>
    <xf numFmtId="2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center" wrapText="1"/>
    </xf>
    <xf numFmtId="0" fontId="30" fillId="2" borderId="20" xfId="0" applyFont="1" applyFill="1" applyBorder="1" applyAlignment="1" applyProtection="1">
      <alignment horizontal="left" vertical="center" wrapText="1" indent="2"/>
    </xf>
    <xf numFmtId="2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2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28" fillId="2" borderId="20" xfId="0" applyFont="1" applyFill="1" applyBorder="1" applyAlignment="1" applyProtection="1">
      <alignment horizontal="left" vertical="center" wrapText="1"/>
    </xf>
    <xf numFmtId="0" fontId="34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4" xfId="0" applyFont="1" applyBorder="1" applyAlignment="1">
      <alignment horizontal="center" vertical="top" wrapText="1"/>
    </xf>
    <xf numFmtId="49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3" xfId="0" applyFont="1" applyBorder="1" applyAlignment="1">
      <alignment horizontal="center" vertical="top" wrapText="1"/>
    </xf>
    <xf numFmtId="49" fontId="30" fillId="0" borderId="33" xfId="0" applyNumberFormat="1" applyFont="1" applyBorder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 indent="2"/>
    </xf>
    <xf numFmtId="0" fontId="29" fillId="2" borderId="20" xfId="0" applyFont="1" applyFill="1" applyBorder="1" applyAlignment="1" applyProtection="1">
      <alignment horizontal="center" vertical="center" wrapText="1"/>
    </xf>
    <xf numFmtId="0" fontId="30" fillId="0" borderId="35" xfId="0" applyFont="1" applyBorder="1" applyAlignment="1">
      <alignment horizontal="center" vertical="top" wrapText="1"/>
    </xf>
    <xf numFmtId="0" fontId="30" fillId="0" borderId="32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center" wrapText="1" indent="3"/>
    </xf>
    <xf numFmtId="0" fontId="9" fillId="0" borderId="0" xfId="0" applyFont="1" applyFill="1" applyProtection="1"/>
    <xf numFmtId="0" fontId="36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Border="1" applyAlignment="1">
      <alignment horizontal="center" vertical="top" wrapText="1"/>
    </xf>
    <xf numFmtId="49" fontId="30" fillId="0" borderId="35" xfId="0" applyNumberFormat="1" applyFont="1" applyBorder="1" applyAlignment="1">
      <alignment horizontal="center" vertical="top" wrapText="1"/>
    </xf>
    <xf numFmtId="49" fontId="30" fillId="0" borderId="32" xfId="0" applyNumberFormat="1" applyFont="1" applyBorder="1" applyAlignment="1">
      <alignment horizontal="center" vertical="top" wrapText="1"/>
    </xf>
    <xf numFmtId="0" fontId="37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center"/>
    </xf>
    <xf numFmtId="0" fontId="33" fillId="2" borderId="20" xfId="0" applyFont="1" applyFill="1" applyBorder="1" applyAlignment="1">
      <alignment horizontal="left" indent="2"/>
    </xf>
    <xf numFmtId="0" fontId="33" fillId="2" borderId="20" xfId="0" applyFont="1" applyFill="1" applyBorder="1" applyAlignment="1">
      <alignment horizontal="center" wrapText="1"/>
    </xf>
    <xf numFmtId="0" fontId="33" fillId="2" borderId="20" xfId="0" applyFont="1" applyFill="1" applyBorder="1" applyAlignment="1">
      <alignment horizontal="left" wrapText="1" indent="2"/>
    </xf>
    <xf numFmtId="0" fontId="33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left" indent="1"/>
    </xf>
    <xf numFmtId="0" fontId="33" fillId="2" borderId="20" xfId="0" applyFont="1" applyFill="1" applyBorder="1"/>
    <xf numFmtId="165" fontId="37" fillId="2" borderId="20" xfId="0" applyNumberFormat="1" applyFont="1" applyFill="1" applyBorder="1" applyAlignment="1">
      <alignment horizontal="left" indent="4"/>
    </xf>
    <xf numFmtId="0" fontId="37" fillId="2" borderId="20" xfId="0" applyFont="1" applyFill="1" applyBorder="1" applyAlignment="1">
      <alignment horizontal="left" wrapText="1" indent="4"/>
    </xf>
    <xf numFmtId="0" fontId="33" fillId="2" borderId="20" xfId="0" applyFont="1" applyFill="1" applyBorder="1" applyAlignment="1">
      <alignment horizontal="left" wrapText="1" indent="4"/>
    </xf>
    <xf numFmtId="0" fontId="37" fillId="2" borderId="20" xfId="0" applyFont="1" applyFill="1" applyBorder="1" applyAlignment="1">
      <alignment horizontal="left" indent="4"/>
    </xf>
    <xf numFmtId="0" fontId="37" fillId="2" borderId="20" xfId="0" applyFont="1" applyFill="1" applyBorder="1" applyAlignment="1">
      <alignment wrapText="1"/>
    </xf>
    <xf numFmtId="0" fontId="33" fillId="2" borderId="20" xfId="0" applyFont="1" applyFill="1" applyBorder="1" applyAlignment="1">
      <alignment horizontal="left" wrapText="1" indent="6"/>
    </xf>
    <xf numFmtId="49" fontId="9" fillId="0" borderId="0" xfId="0" applyNumberFormat="1" applyFont="1" applyFill="1" applyAlignment="1" applyProtection="1">
      <alignment horizontal="center" vertical="center"/>
    </xf>
    <xf numFmtId="0" fontId="30" fillId="0" borderId="0" xfId="0" applyFont="1" applyBorder="1" applyAlignment="1">
      <alignment horizontal="center" vertical="top" wrapText="1"/>
    </xf>
    <xf numFmtId="0" fontId="30" fillId="0" borderId="36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wrapText="1" indent="1"/>
    </xf>
    <xf numFmtId="0" fontId="30" fillId="0" borderId="37" xfId="0" applyFont="1" applyBorder="1" applyAlignment="1">
      <alignment horizontal="center" vertical="top" wrapText="1"/>
    </xf>
    <xf numFmtId="0" fontId="38" fillId="2" borderId="20" xfId="0" applyFont="1" applyFill="1" applyBorder="1"/>
    <xf numFmtId="0" fontId="30" fillId="0" borderId="0" xfId="0" applyFont="1" applyAlignment="1">
      <alignment horizontal="center" vertical="top" wrapText="1"/>
    </xf>
    <xf numFmtId="49" fontId="30" fillId="0" borderId="0" xfId="0" applyNumberFormat="1" applyFont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/>
    </xf>
    <xf numFmtId="2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3"/>
    </xf>
    <xf numFmtId="0" fontId="39" fillId="2" borderId="20" xfId="0" applyFont="1" applyFill="1" applyBorder="1" applyAlignment="1" applyProtection="1">
      <alignment horizontal="left" vertical="center" wrapText="1" indent="1"/>
    </xf>
    <xf numFmtId="0" fontId="40" fillId="2" borderId="20" xfId="0" applyFont="1" applyFill="1" applyBorder="1" applyAlignment="1" applyProtection="1">
      <alignment horizontal="center" vertical="center" wrapText="1"/>
    </xf>
    <xf numFmtId="0" fontId="39" fillId="2" borderId="20" xfId="0" applyFont="1" applyFill="1" applyBorder="1" applyAlignment="1" applyProtection="1">
      <alignment horizontal="left" vertical="center" wrapText="1" indent="2"/>
    </xf>
    <xf numFmtId="0" fontId="41" fillId="2" borderId="20" xfId="0" applyFont="1" applyFill="1" applyBorder="1" applyAlignment="1" applyProtection="1">
      <alignment horizontal="left" vertical="center" wrapText="1" indent="1"/>
    </xf>
    <xf numFmtId="2" fontId="9" fillId="0" borderId="0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Border="1" applyAlignment="1" applyProtection="1">
      <alignment horizontal="center" vertical="top" wrapText="1"/>
      <protection locked="0"/>
    </xf>
    <xf numFmtId="49" fontId="30" fillId="0" borderId="33" xfId="0" applyNumberFormat="1" applyFont="1" applyBorder="1" applyAlignment="1" applyProtection="1">
      <alignment horizontal="center" vertical="top" wrapText="1"/>
      <protection locked="0"/>
    </xf>
    <xf numFmtId="0" fontId="30" fillId="0" borderId="0" xfId="0" applyFont="1" applyAlignment="1" applyProtection="1">
      <alignment horizontal="center" vertical="top" wrapText="1"/>
      <protection locked="0"/>
    </xf>
    <xf numFmtId="49" fontId="30" fillId="0" borderId="0" xfId="0" applyNumberFormat="1" applyFont="1" applyAlignment="1" applyProtection="1">
      <alignment horizontal="center" vertical="top" wrapText="1"/>
      <protection locked="0"/>
    </xf>
    <xf numFmtId="0" fontId="30" fillId="0" borderId="33" xfId="0" applyFont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1"/>
    </xf>
    <xf numFmtId="0" fontId="31" fillId="2" borderId="20" xfId="0" applyFont="1" applyFill="1" applyBorder="1" applyAlignment="1" applyProtection="1">
      <alignment horizontal="center" vertical="top" wrapText="1"/>
    </xf>
    <xf numFmtId="0" fontId="37" fillId="2" borderId="20" xfId="0" applyFont="1" applyFill="1" applyBorder="1" applyAlignment="1" applyProtection="1">
      <alignment horizontal="left" vertical="center" wrapText="1" indent="1"/>
    </xf>
    <xf numFmtId="0" fontId="30" fillId="2" borderId="20" xfId="0" applyFont="1" applyFill="1" applyBorder="1" applyAlignment="1" applyProtection="1">
      <alignment horizontal="left" vertical="center" wrapText="1" indent="4"/>
    </xf>
    <xf numFmtId="0" fontId="30" fillId="2" borderId="20" xfId="0" applyFont="1" applyFill="1" applyBorder="1" applyAlignment="1" applyProtection="1">
      <alignment horizontal="left" vertical="center" wrapText="1" indent="5"/>
    </xf>
    <xf numFmtId="0" fontId="38" fillId="0" borderId="0" xfId="0" applyFont="1" applyAlignment="1">
      <alignment horizontal="center" vertical="top" wrapText="1"/>
    </xf>
    <xf numFmtId="49" fontId="38" fillId="0" borderId="0" xfId="0" applyNumberFormat="1" applyFont="1" applyAlignment="1">
      <alignment horizontal="center" vertical="top" wrapText="1"/>
    </xf>
    <xf numFmtId="0" fontId="30" fillId="0" borderId="38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2"/>
    </xf>
    <xf numFmtId="0" fontId="30" fillId="0" borderId="39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1"/>
    </xf>
    <xf numFmtId="0" fontId="43" fillId="2" borderId="20" xfId="0" applyFont="1" applyFill="1" applyBorder="1" applyAlignment="1" applyProtection="1">
      <alignment horizontal="left" vertical="center" wrapText="1" indent="1"/>
    </xf>
    <xf numFmtId="0" fontId="38" fillId="0" borderId="0" xfId="0" applyFont="1"/>
    <xf numFmtId="0" fontId="30" fillId="0" borderId="33" xfId="0" applyFont="1" applyFill="1" applyBorder="1" applyAlignment="1">
      <alignment horizontal="center" vertical="top" wrapText="1"/>
    </xf>
    <xf numFmtId="0" fontId="30" fillId="0" borderId="40" xfId="0" applyFont="1" applyBorder="1" applyAlignment="1">
      <alignment horizontal="center" vertical="top" wrapText="1"/>
    </xf>
    <xf numFmtId="0" fontId="30" fillId="0" borderId="41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right" vertical="center"/>
    </xf>
    <xf numFmtId="0" fontId="30" fillId="3" borderId="33" xfId="0" applyFont="1" applyFill="1" applyBorder="1" applyAlignment="1">
      <alignment horizontal="center" vertical="top" wrapText="1"/>
    </xf>
    <xf numFmtId="0" fontId="30" fillId="3" borderId="34" xfId="0" applyFont="1" applyFill="1" applyBorder="1" applyAlignment="1">
      <alignment horizontal="center" vertical="top" wrapText="1"/>
    </xf>
    <xf numFmtId="49" fontId="30" fillId="3" borderId="33" xfId="0" applyNumberFormat="1" applyFont="1" applyFill="1" applyBorder="1" applyAlignment="1">
      <alignment horizontal="center" vertical="top" wrapText="1"/>
    </xf>
    <xf numFmtId="0" fontId="30" fillId="3" borderId="32" xfId="0" applyFont="1" applyFill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top" wrapText="1" indent="2"/>
    </xf>
    <xf numFmtId="49" fontId="30" fillId="2" borderId="20" xfId="0" applyNumberFormat="1" applyFont="1" applyFill="1" applyBorder="1" applyAlignment="1" applyProtection="1">
      <alignment horizontal="left" vertical="top" wrapText="1" indent="2"/>
    </xf>
    <xf numFmtId="0" fontId="36" fillId="2" borderId="20" xfId="0" applyFont="1" applyFill="1" applyBorder="1" applyAlignment="1" applyProtection="1">
      <alignment horizontal="left" vertical="top" wrapText="1" indent="1"/>
    </xf>
    <xf numFmtId="49" fontId="9" fillId="0" borderId="0" xfId="0" applyNumberFormat="1" applyFont="1" applyFill="1" applyAlignment="1" applyProtection="1">
      <alignment horizontal="center"/>
    </xf>
    <xf numFmtId="49" fontId="9" fillId="0" borderId="0" xfId="0" applyNumberFormat="1" applyFont="1" applyFill="1" applyAlignment="1" applyProtection="1">
      <alignment horizontal="right"/>
    </xf>
    <xf numFmtId="49" fontId="9" fillId="0" borderId="0" xfId="0" applyNumberFormat="1" applyFont="1" applyFill="1" applyAlignment="1" applyProtection="1">
      <alignment horizontal="left"/>
    </xf>
    <xf numFmtId="164" fontId="9" fillId="0" borderId="0" xfId="0" applyNumberFormat="1" applyFont="1" applyFill="1" applyProtection="1"/>
    <xf numFmtId="0" fontId="44" fillId="0" borderId="20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/>
    </xf>
    <xf numFmtId="0" fontId="49" fillId="0" borderId="20" xfId="0" applyFont="1" applyFill="1" applyBorder="1" applyAlignment="1" applyProtection="1">
      <alignment horizontal="left" vertical="center" wrapText="1"/>
    </xf>
    <xf numFmtId="0" fontId="51" fillId="0" borderId="20" xfId="0" applyFont="1" applyFill="1" applyBorder="1" applyAlignment="1" applyProtection="1">
      <alignment horizontal="left" vertical="center" wrapText="1"/>
    </xf>
    <xf numFmtId="0" fontId="52" fillId="0" borderId="20" xfId="0" applyFont="1" applyFill="1" applyBorder="1" applyAlignment="1" applyProtection="1">
      <alignment horizontal="center" vertical="center" wrapText="1"/>
    </xf>
    <xf numFmtId="0" fontId="55" fillId="0" borderId="0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49" fontId="56" fillId="0" borderId="0" xfId="0" applyNumberFormat="1" applyFont="1" applyFill="1" applyBorder="1" applyAlignment="1" applyProtection="1">
      <alignment horizontal="center" vertical="center"/>
    </xf>
    <xf numFmtId="49" fontId="56" fillId="0" borderId="0" xfId="0" applyNumberFormat="1" applyFont="1" applyFill="1" applyBorder="1" applyAlignment="1" applyProtection="1">
      <alignment horizontal="right" vertical="center"/>
    </xf>
    <xf numFmtId="49" fontId="56" fillId="0" borderId="0" xfId="0" applyNumberFormat="1" applyFont="1" applyFill="1" applyBorder="1" applyAlignment="1" applyProtection="1">
      <alignment horizontal="left" vertical="center"/>
    </xf>
    <xf numFmtId="0" fontId="44" fillId="0" borderId="0" xfId="0" applyFont="1" applyFill="1" applyBorder="1" applyAlignment="1" applyProtection="1">
      <alignment vertical="center"/>
    </xf>
    <xf numFmtId="49" fontId="51" fillId="0" borderId="20" xfId="0" applyNumberFormat="1" applyFont="1" applyFill="1" applyBorder="1" applyAlignment="1" applyProtection="1">
      <alignment horizontal="center" vertical="center"/>
    </xf>
    <xf numFmtId="49" fontId="51" fillId="0" borderId="20" xfId="0" applyNumberFormat="1" applyFont="1" applyFill="1" applyBorder="1" applyAlignment="1" applyProtection="1">
      <alignment horizontal="center" vertical="center" wrapText="1"/>
    </xf>
    <xf numFmtId="49" fontId="51" fillId="0" borderId="20" xfId="0" applyNumberFormat="1" applyFont="1" applyFill="1" applyBorder="1" applyAlignment="1" applyProtection="1">
      <alignment horizontal="left" vertical="center" wrapText="1"/>
    </xf>
    <xf numFmtId="0" fontId="51" fillId="0" borderId="20" xfId="0" applyFont="1" applyFill="1" applyBorder="1" applyAlignment="1" applyProtection="1">
      <alignment horizontal="right" vertical="center"/>
    </xf>
    <xf numFmtId="0" fontId="54" fillId="0" borderId="20" xfId="0" applyFont="1" applyFill="1" applyBorder="1" applyAlignment="1" applyProtection="1">
      <alignment horizontal="left" vertical="center" wrapText="1"/>
    </xf>
    <xf numFmtId="2" fontId="44" fillId="0" borderId="20" xfId="0" applyNumberFormat="1" applyFont="1" applyFill="1" applyBorder="1" applyAlignment="1" applyProtection="1">
      <alignment horizontal="center" vertical="center"/>
      <protection locked="0"/>
    </xf>
    <xf numFmtId="2" fontId="44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44" fillId="0" borderId="20" xfId="0" applyNumberFormat="1" applyFont="1" applyFill="1" applyBorder="1" applyAlignment="1" applyProtection="1">
      <alignment horizontal="center" vertical="center" wrapText="1"/>
      <protection locked="0"/>
    </xf>
    <xf numFmtId="2" fontId="57" fillId="0" borderId="20" xfId="0" applyNumberFormat="1" applyFont="1" applyFill="1" applyBorder="1" applyAlignment="1">
      <alignment horizontal="right" vertical="center"/>
    </xf>
    <xf numFmtId="2" fontId="57" fillId="0" borderId="20" xfId="0" applyNumberFormat="1" applyFont="1" applyFill="1" applyBorder="1" applyAlignment="1" applyProtection="1">
      <alignment horizontal="right" vertical="center"/>
      <protection locked="0"/>
    </xf>
    <xf numFmtId="2" fontId="56" fillId="0" borderId="20" xfId="0" applyNumberFormat="1" applyFont="1" applyFill="1" applyBorder="1" applyAlignment="1" applyProtection="1">
      <alignment horizontal="right" vertical="center"/>
    </xf>
    <xf numFmtId="0" fontId="58" fillId="0" borderId="20" xfId="0" applyFont="1" applyFill="1" applyBorder="1" applyAlignment="1" applyProtection="1">
      <alignment horizontal="center" vertical="center" wrapText="1"/>
    </xf>
    <xf numFmtId="2" fontId="59" fillId="0" borderId="20" xfId="0" applyNumberFormat="1" applyFont="1" applyFill="1" applyBorder="1" applyAlignment="1" applyProtection="1">
      <alignment horizontal="right" vertical="center"/>
    </xf>
    <xf numFmtId="2" fontId="49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49" fillId="0" borderId="20" xfId="0" applyNumberFormat="1" applyFont="1" applyFill="1" applyBorder="1" applyAlignment="1" applyProtection="1">
      <alignment horizontal="center" vertical="center" wrapText="1"/>
      <protection locked="0"/>
    </xf>
    <xf numFmtId="2" fontId="60" fillId="0" borderId="20" xfId="0" applyNumberFormat="1" applyFont="1" applyFill="1" applyBorder="1" applyAlignment="1">
      <alignment horizontal="right" vertical="center"/>
    </xf>
    <xf numFmtId="0" fontId="59" fillId="0" borderId="0" xfId="0" applyFont="1" applyFill="1" applyBorder="1" applyAlignment="1" applyProtection="1">
      <alignment vertical="center"/>
    </xf>
    <xf numFmtId="0" fontId="56" fillId="0" borderId="20" xfId="0" applyFont="1" applyFill="1" applyBorder="1" applyAlignment="1" applyProtection="1">
      <alignment vertical="center"/>
    </xf>
    <xf numFmtId="165" fontId="57" fillId="0" borderId="20" xfId="0" applyNumberFormat="1" applyFont="1" applyFill="1" applyBorder="1" applyAlignment="1" applyProtection="1">
      <alignment horizontal="right" vertical="center"/>
      <protection locked="0"/>
    </xf>
    <xf numFmtId="2" fontId="56" fillId="0" borderId="20" xfId="0" applyNumberFormat="1" applyFont="1" applyFill="1" applyBorder="1" applyAlignment="1" applyProtection="1">
      <alignment vertical="center"/>
    </xf>
    <xf numFmtId="0" fontId="50" fillId="0" borderId="20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>
      <alignment horizontal="center" vertical="center" wrapText="1"/>
    </xf>
    <xf numFmtId="49" fontId="44" fillId="0" borderId="20" xfId="0" applyNumberFormat="1" applyFont="1" applyFill="1" applyBorder="1" applyAlignment="1">
      <alignment horizontal="center" vertical="center" wrapText="1"/>
    </xf>
    <xf numFmtId="2" fontId="55" fillId="0" borderId="20" xfId="0" applyNumberFormat="1" applyFont="1" applyFill="1" applyBorder="1" applyAlignment="1" applyProtection="1">
      <alignment horizontal="right" vertical="center"/>
    </xf>
    <xf numFmtId="0" fontId="51" fillId="0" borderId="20" xfId="0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2" fontId="53" fillId="0" borderId="20" xfId="0" applyNumberFormat="1" applyFont="1" applyFill="1" applyBorder="1" applyAlignment="1">
      <alignment horizontal="right" vertical="center"/>
    </xf>
    <xf numFmtId="0" fontId="49" fillId="0" borderId="20" xfId="0" applyFont="1" applyFill="1" applyBorder="1" applyAlignment="1">
      <alignment horizontal="center" vertical="center" wrapText="1"/>
    </xf>
    <xf numFmtId="49" fontId="49" fillId="0" borderId="20" xfId="0" applyNumberFormat="1" applyFont="1" applyFill="1" applyBorder="1" applyAlignment="1">
      <alignment horizontal="center" vertical="center" wrapText="1"/>
    </xf>
    <xf numFmtId="43" fontId="57" fillId="0" borderId="20" xfId="2" applyFont="1" applyFill="1" applyBorder="1" applyAlignment="1" applyProtection="1">
      <alignment horizontal="right" vertical="center"/>
      <protection locked="0"/>
    </xf>
    <xf numFmtId="2" fontId="49" fillId="0" borderId="20" xfId="0" applyNumberFormat="1" applyFont="1" applyFill="1" applyBorder="1" applyAlignment="1" applyProtection="1">
      <alignment horizontal="right" vertical="center"/>
    </xf>
    <xf numFmtId="2" fontId="49" fillId="0" borderId="20" xfId="0" applyNumberFormat="1" applyFont="1" applyFill="1" applyBorder="1" applyAlignment="1">
      <alignment horizontal="right" vertical="center"/>
    </xf>
    <xf numFmtId="0" fontId="49" fillId="0" borderId="0" xfId="0" applyFont="1" applyFill="1" applyBorder="1" applyAlignment="1" applyProtection="1">
      <alignment vertical="center"/>
    </xf>
    <xf numFmtId="2" fontId="49" fillId="0" borderId="20" xfId="0" applyNumberFormat="1" applyFont="1" applyFill="1" applyBorder="1" applyAlignment="1" applyProtection="1">
      <alignment horizontal="right" vertical="center"/>
      <protection locked="0"/>
    </xf>
    <xf numFmtId="2" fontId="53" fillId="0" borderId="20" xfId="0" applyNumberFormat="1" applyFont="1" applyFill="1" applyBorder="1" applyAlignment="1" applyProtection="1">
      <alignment horizontal="right" vertical="center"/>
      <protection locked="0"/>
    </xf>
    <xf numFmtId="49" fontId="51" fillId="0" borderId="20" xfId="0" applyNumberFormat="1" applyFont="1" applyFill="1" applyBorder="1" applyAlignment="1" applyProtection="1">
      <alignment horizontal="center" vertical="center" wrapText="1"/>
      <protection locked="0"/>
    </xf>
    <xf numFmtId="2" fontId="56" fillId="0" borderId="20" xfId="0" applyNumberFormat="1" applyFont="1" applyFill="1" applyBorder="1" applyAlignment="1" applyProtection="1">
      <alignment horizontal="right" vertical="center"/>
      <protection locked="0"/>
    </xf>
    <xf numFmtId="0" fontId="44" fillId="0" borderId="20" xfId="0" applyFont="1" applyFill="1" applyBorder="1" applyAlignment="1" applyProtection="1">
      <alignment horizontal="center" vertical="center" wrapText="1"/>
      <protection locked="0"/>
    </xf>
    <xf numFmtId="0" fontId="61" fillId="0" borderId="0" xfId="0" applyFont="1" applyFill="1" applyBorder="1" applyAlignment="1" applyProtection="1">
      <alignment vertical="center"/>
    </xf>
    <xf numFmtId="0" fontId="62" fillId="0" borderId="0" xfId="0" applyFont="1" applyFill="1" applyBorder="1" applyAlignment="1" applyProtection="1">
      <alignment vertical="center"/>
    </xf>
    <xf numFmtId="0" fontId="63" fillId="0" borderId="0" xfId="0" applyFont="1" applyFill="1" applyBorder="1" applyAlignment="1" applyProtection="1">
      <alignment vertical="center"/>
    </xf>
    <xf numFmtId="166" fontId="57" fillId="0" borderId="20" xfId="0" applyNumberFormat="1" applyFont="1" applyFill="1" applyBorder="1" applyAlignment="1" applyProtection="1">
      <alignment horizontal="right" vertical="center"/>
      <protection locked="0"/>
    </xf>
    <xf numFmtId="0" fontId="57" fillId="0" borderId="20" xfId="0" applyFont="1" applyFill="1" applyBorder="1" applyAlignment="1">
      <alignment vertical="center"/>
    </xf>
    <xf numFmtId="0" fontId="55" fillId="0" borderId="20" xfId="0" applyFont="1" applyFill="1" applyBorder="1" applyAlignment="1" applyProtection="1">
      <alignment vertical="center"/>
    </xf>
    <xf numFmtId="164" fontId="56" fillId="0" borderId="0" xfId="0" applyNumberFormat="1" applyFont="1" applyFill="1" applyBorder="1" applyAlignment="1" applyProtection="1">
      <alignment vertical="center"/>
    </xf>
    <xf numFmtId="167" fontId="49" fillId="0" borderId="20" xfId="1" applyNumberFormat="1" applyFont="1" applyFill="1" applyBorder="1" applyAlignment="1" applyProtection="1">
      <alignment horizontal="right" vertical="center"/>
      <protection locked="0"/>
    </xf>
    <xf numFmtId="168" fontId="53" fillId="0" borderId="20" xfId="2" applyNumberFormat="1" applyFont="1" applyFill="1" applyBorder="1" applyAlignment="1" applyProtection="1">
      <alignment horizontal="right" vertical="center"/>
      <protection locked="0"/>
    </xf>
    <xf numFmtId="2" fontId="60" fillId="0" borderId="20" xfId="0" applyNumberFormat="1" applyFont="1" applyFill="1" applyBorder="1" applyAlignment="1" applyProtection="1">
      <alignment horizontal="right" vertical="center"/>
      <protection locked="0"/>
    </xf>
    <xf numFmtId="165" fontId="60" fillId="0" borderId="20" xfId="0" applyNumberFormat="1" applyFont="1" applyFill="1" applyBorder="1" applyAlignment="1" applyProtection="1">
      <alignment horizontal="right" vertical="center"/>
      <protection locked="0"/>
    </xf>
    <xf numFmtId="10" fontId="49" fillId="0" borderId="20" xfId="0" applyNumberFormat="1" applyFont="1" applyFill="1" applyBorder="1" applyAlignment="1" applyProtection="1">
      <alignment horizontal="right" vertical="center"/>
      <protection locked="0"/>
    </xf>
    <xf numFmtId="166" fontId="53" fillId="0" borderId="20" xfId="0" applyNumberFormat="1" applyFont="1" applyFill="1" applyBorder="1" applyAlignment="1" applyProtection="1">
      <alignment horizontal="right" vertical="center"/>
      <protection locked="0"/>
    </xf>
    <xf numFmtId="167" fontId="56" fillId="0" borderId="0" xfId="0" applyNumberFormat="1" applyFont="1" applyFill="1" applyBorder="1" applyAlignment="1" applyProtection="1">
      <alignment vertical="center"/>
    </xf>
    <xf numFmtId="166" fontId="60" fillId="0" borderId="20" xfId="0" applyNumberFormat="1" applyFont="1" applyFill="1" applyBorder="1" applyAlignment="1" applyProtection="1">
      <alignment horizontal="right" vertical="center"/>
      <protection locked="0"/>
    </xf>
    <xf numFmtId="166" fontId="56" fillId="0" borderId="20" xfId="0" applyNumberFormat="1" applyFont="1" applyFill="1" applyBorder="1" applyAlignment="1" applyProtection="1">
      <alignment vertical="center"/>
    </xf>
    <xf numFmtId="166" fontId="49" fillId="0" borderId="20" xfId="0" applyNumberFormat="1" applyFont="1" applyFill="1" applyBorder="1" applyAlignment="1" applyProtection="1">
      <alignment horizontal="right" vertical="center"/>
      <protection locked="0"/>
    </xf>
    <xf numFmtId="166" fontId="57" fillId="0" borderId="20" xfId="2" applyNumberFormat="1" applyFont="1" applyFill="1" applyBorder="1" applyAlignment="1" applyProtection="1">
      <alignment horizontal="right" vertical="center"/>
      <protection locked="0"/>
    </xf>
    <xf numFmtId="166" fontId="66" fillId="0" borderId="20" xfId="0" applyNumberFormat="1" applyFont="1" applyFill="1" applyBorder="1" applyAlignment="1" applyProtection="1">
      <alignment horizontal="right" vertical="center"/>
      <protection locked="0"/>
    </xf>
    <xf numFmtId="166" fontId="67" fillId="0" borderId="20" xfId="0" applyNumberFormat="1" applyFont="1" applyFill="1" applyBorder="1" applyAlignment="1" applyProtection="1">
      <alignment horizontal="right" vertical="center"/>
      <protection locked="0"/>
    </xf>
    <xf numFmtId="164" fontId="59" fillId="0" borderId="0" xfId="0" applyNumberFormat="1" applyFont="1" applyFill="1" applyBorder="1" applyAlignment="1" applyProtection="1">
      <alignment vertical="center"/>
    </xf>
    <xf numFmtId="167" fontId="59" fillId="0" borderId="0" xfId="0" applyNumberFormat="1" applyFont="1" applyFill="1" applyBorder="1" applyAlignment="1" applyProtection="1">
      <alignment vertical="center"/>
    </xf>
    <xf numFmtId="166" fontId="69" fillId="0" borderId="20" xfId="0" applyNumberFormat="1" applyFont="1" applyFill="1" applyBorder="1" applyAlignment="1" applyProtection="1">
      <alignment horizontal="right" vertical="center"/>
      <protection locked="0"/>
    </xf>
    <xf numFmtId="166" fontId="70" fillId="0" borderId="20" xfId="0" applyNumberFormat="1" applyFont="1" applyFill="1" applyBorder="1" applyAlignment="1" applyProtection="1">
      <alignment horizontal="center" vertical="center"/>
    </xf>
    <xf numFmtId="2" fontId="59" fillId="0" borderId="20" xfId="0" applyNumberFormat="1" applyFont="1" applyFill="1" applyBorder="1" applyAlignment="1" applyProtection="1">
      <alignment vertical="center"/>
    </xf>
    <xf numFmtId="166" fontId="59" fillId="0" borderId="20" xfId="0" applyNumberFormat="1" applyFont="1" applyFill="1" applyBorder="1" applyAlignment="1" applyProtection="1">
      <alignment vertical="center"/>
    </xf>
    <xf numFmtId="4" fontId="60" fillId="0" borderId="20" xfId="1" applyNumberFormat="1" applyFont="1" applyFill="1" applyBorder="1" applyAlignment="1" applyProtection="1">
      <alignment horizontal="right" vertical="center"/>
      <protection locked="0"/>
    </xf>
    <xf numFmtId="166" fontId="49" fillId="0" borderId="20" xfId="0" applyNumberFormat="1" applyFont="1" applyFill="1" applyBorder="1" applyAlignment="1" applyProtection="1">
      <alignment horizontal="left" vertical="center" wrapText="1"/>
    </xf>
    <xf numFmtId="166" fontId="49" fillId="0" borderId="20" xfId="0" applyNumberFormat="1" applyFont="1" applyFill="1" applyBorder="1" applyAlignment="1" applyProtection="1">
      <alignment horizontal="right" vertical="center"/>
    </xf>
    <xf numFmtId="166" fontId="49" fillId="0" borderId="20" xfId="0" applyNumberFormat="1" applyFont="1" applyFill="1" applyBorder="1" applyAlignment="1">
      <alignment horizontal="center" vertical="center" wrapText="1"/>
    </xf>
    <xf numFmtId="166" fontId="49" fillId="0" borderId="20" xfId="0" applyNumberFormat="1" applyFont="1" applyFill="1" applyBorder="1" applyAlignment="1">
      <alignment horizontal="right" vertical="center"/>
    </xf>
    <xf numFmtId="166" fontId="58" fillId="0" borderId="20" xfId="0" applyNumberFormat="1" applyFont="1" applyFill="1" applyBorder="1" applyAlignment="1" applyProtection="1">
      <alignment horizontal="center" vertical="center" wrapText="1"/>
    </xf>
    <xf numFmtId="167" fontId="49" fillId="0" borderId="20" xfId="0" applyNumberFormat="1" applyFont="1" applyFill="1" applyBorder="1" applyAlignment="1" applyProtection="1">
      <alignment horizontal="right" vertical="center"/>
      <protection locked="0"/>
    </xf>
    <xf numFmtId="0" fontId="45" fillId="0" borderId="0" xfId="0" applyFont="1" applyFill="1" applyBorder="1" applyAlignment="1" applyProtection="1">
      <alignment vertical="center"/>
    </xf>
    <xf numFmtId="0" fontId="45" fillId="0" borderId="20" xfId="0" applyFont="1" applyFill="1" applyBorder="1" applyAlignment="1" applyProtection="1">
      <alignment vertical="center"/>
    </xf>
    <xf numFmtId="0" fontId="45" fillId="0" borderId="20" xfId="0" applyFont="1" applyFill="1" applyBorder="1" applyAlignment="1" applyProtection="1">
      <alignment horizontal="center" vertical="center"/>
    </xf>
    <xf numFmtId="0" fontId="58" fillId="0" borderId="20" xfId="0" applyFont="1" applyFill="1" applyBorder="1" applyAlignment="1" applyProtection="1">
      <alignment horizontal="center" vertical="center"/>
    </xf>
    <xf numFmtId="0" fontId="58" fillId="0" borderId="20" xfId="0" applyFont="1" applyFill="1" applyBorder="1" applyAlignment="1" applyProtection="1">
      <alignment horizontal="left" vertical="center" wrapText="1"/>
    </xf>
    <xf numFmtId="2" fontId="58" fillId="0" borderId="20" xfId="0" applyNumberFormat="1" applyFont="1" applyFill="1" applyBorder="1" applyAlignment="1" applyProtection="1">
      <alignment horizontal="right" vertical="center"/>
    </xf>
    <xf numFmtId="0" fontId="58" fillId="0" borderId="20" xfId="0" applyFont="1" applyFill="1" applyBorder="1" applyAlignment="1">
      <alignment horizontal="center" vertical="center" wrapText="1"/>
    </xf>
    <xf numFmtId="49" fontId="58" fillId="0" borderId="20" xfId="0" applyNumberFormat="1" applyFont="1" applyFill="1" applyBorder="1" applyAlignment="1">
      <alignment horizontal="center" vertical="center" wrapText="1"/>
    </xf>
    <xf numFmtId="2" fontId="58" fillId="0" borderId="20" xfId="0" applyNumberFormat="1" applyFont="1" applyFill="1" applyBorder="1" applyAlignment="1">
      <alignment horizontal="right" vertical="center"/>
    </xf>
    <xf numFmtId="2" fontId="58" fillId="0" borderId="20" xfId="0" applyNumberFormat="1" applyFont="1" applyFill="1" applyBorder="1" applyAlignment="1" applyProtection="1">
      <alignment horizontal="right" vertical="center"/>
      <protection locked="0"/>
    </xf>
    <xf numFmtId="166" fontId="58" fillId="0" borderId="20" xfId="0" applyNumberFormat="1" applyFont="1" applyFill="1" applyBorder="1" applyAlignment="1" applyProtection="1">
      <alignment horizontal="right" vertical="center"/>
      <protection locked="0"/>
    </xf>
    <xf numFmtId="164" fontId="58" fillId="0" borderId="0" xfId="0" applyNumberFormat="1" applyFont="1" applyFill="1" applyBorder="1" applyAlignment="1" applyProtection="1">
      <alignment vertical="center"/>
    </xf>
    <xf numFmtId="167" fontId="58" fillId="0" borderId="0" xfId="0" applyNumberFormat="1" applyFont="1" applyFill="1" applyBorder="1" applyAlignment="1" applyProtection="1">
      <alignment vertical="center"/>
    </xf>
    <xf numFmtId="0" fontId="58" fillId="0" borderId="0" xfId="0" applyFont="1" applyFill="1" applyBorder="1" applyAlignment="1" applyProtection="1">
      <alignment vertical="center"/>
    </xf>
    <xf numFmtId="0" fontId="45" fillId="0" borderId="20" xfId="0" applyFont="1" applyFill="1" applyBorder="1" applyAlignment="1" applyProtection="1">
      <alignment horizontal="left" vertical="center" wrapText="1"/>
    </xf>
    <xf numFmtId="2" fontId="45" fillId="0" borderId="20" xfId="0" applyNumberFormat="1" applyFont="1" applyFill="1" applyBorder="1" applyAlignment="1" applyProtection="1">
      <alignment horizontal="right" vertical="center"/>
      <protection locked="0"/>
    </xf>
    <xf numFmtId="0" fontId="45" fillId="0" borderId="20" xfId="0" applyFont="1" applyFill="1" applyBorder="1" applyAlignment="1" applyProtection="1">
      <alignment horizontal="center" vertical="center" wrapText="1"/>
      <protection locked="0"/>
    </xf>
    <xf numFmtId="49" fontId="45" fillId="0" borderId="20" xfId="0" applyNumberFormat="1" applyFont="1" applyFill="1" applyBorder="1" applyAlignment="1" applyProtection="1">
      <alignment horizontal="center" vertical="center" wrapText="1"/>
      <protection locked="0"/>
    </xf>
    <xf numFmtId="166" fontId="45" fillId="0" borderId="20" xfId="0" applyNumberFormat="1" applyFont="1" applyFill="1" applyBorder="1" applyAlignment="1" applyProtection="1">
      <alignment horizontal="right" vertical="center"/>
      <protection locked="0"/>
    </xf>
    <xf numFmtId="164" fontId="45" fillId="0" borderId="0" xfId="0" applyNumberFormat="1" applyFont="1" applyFill="1" applyBorder="1" applyAlignment="1" applyProtection="1">
      <alignment vertical="center"/>
    </xf>
    <xf numFmtId="167" fontId="45" fillId="0" borderId="0" xfId="0" applyNumberFormat="1" applyFont="1" applyFill="1" applyBorder="1" applyAlignment="1" applyProtection="1">
      <alignment vertical="center"/>
    </xf>
    <xf numFmtId="2" fontId="45" fillId="0" borderId="20" xfId="0" applyNumberFormat="1" applyFont="1" applyFill="1" applyBorder="1" applyAlignment="1" applyProtection="1">
      <alignment horizontal="right" vertical="center"/>
    </xf>
    <xf numFmtId="0" fontId="45" fillId="0" borderId="20" xfId="0" applyFont="1" applyFill="1" applyBorder="1" applyAlignment="1">
      <alignment horizontal="center" vertical="center" wrapText="1"/>
    </xf>
    <xf numFmtId="49" fontId="45" fillId="0" borderId="20" xfId="0" applyNumberFormat="1" applyFont="1" applyFill="1" applyBorder="1" applyAlignment="1">
      <alignment horizontal="center" vertical="center" wrapText="1"/>
    </xf>
    <xf numFmtId="2" fontId="45" fillId="0" borderId="20" xfId="0" applyNumberFormat="1" applyFont="1" applyFill="1" applyBorder="1" applyAlignment="1">
      <alignment horizontal="right" vertical="center"/>
    </xf>
    <xf numFmtId="3" fontId="45" fillId="0" borderId="20" xfId="0" applyNumberFormat="1" applyFont="1" applyFill="1" applyBorder="1" applyAlignment="1" applyProtection="1">
      <alignment horizontal="left" vertical="center" wrapText="1"/>
    </xf>
    <xf numFmtId="3" fontId="45" fillId="0" borderId="20" xfId="0" applyNumberFormat="1" applyFont="1" applyFill="1" applyBorder="1" applyAlignment="1" applyProtection="1">
      <alignment horizontal="center" vertical="center" wrapText="1"/>
    </xf>
    <xf numFmtId="3" fontId="45" fillId="0" borderId="20" xfId="0" applyNumberFormat="1" applyFont="1" applyFill="1" applyBorder="1" applyAlignment="1" applyProtection="1">
      <alignment horizontal="right" vertical="center"/>
    </xf>
    <xf numFmtId="3" fontId="45" fillId="0" borderId="20" xfId="0" applyNumberFormat="1" applyFont="1" applyFill="1" applyBorder="1" applyAlignment="1">
      <alignment horizontal="center" vertical="center" wrapText="1"/>
    </xf>
    <xf numFmtId="3" fontId="45" fillId="0" borderId="20" xfId="0" applyNumberFormat="1" applyFont="1" applyFill="1" applyBorder="1" applyAlignment="1">
      <alignment horizontal="right" vertical="center"/>
    </xf>
    <xf numFmtId="165" fontId="45" fillId="0" borderId="20" xfId="0" applyNumberFormat="1" applyFont="1" applyFill="1" applyBorder="1" applyAlignment="1" applyProtection="1">
      <alignment horizontal="left" vertical="center" wrapText="1"/>
    </xf>
    <xf numFmtId="165" fontId="45" fillId="0" borderId="20" xfId="0" applyNumberFormat="1" applyFont="1" applyFill="1" applyBorder="1" applyAlignment="1" applyProtection="1">
      <alignment horizontal="center" vertical="center" wrapText="1"/>
    </xf>
    <xf numFmtId="165" fontId="45" fillId="0" borderId="20" xfId="0" applyNumberFormat="1" applyFont="1" applyFill="1" applyBorder="1" applyAlignment="1" applyProtection="1">
      <alignment horizontal="right" vertical="center"/>
    </xf>
    <xf numFmtId="165" fontId="45" fillId="0" borderId="20" xfId="0" applyNumberFormat="1" applyFont="1" applyFill="1" applyBorder="1" applyAlignment="1">
      <alignment horizontal="center" vertical="center" wrapText="1"/>
    </xf>
    <xf numFmtId="165" fontId="45" fillId="0" borderId="20" xfId="0" applyNumberFormat="1" applyFont="1" applyFill="1" applyBorder="1" applyAlignment="1">
      <alignment horizontal="right" vertical="center"/>
    </xf>
    <xf numFmtId="165" fontId="45" fillId="0" borderId="0" xfId="0" applyNumberFormat="1" applyFont="1" applyFill="1" applyBorder="1" applyAlignment="1" applyProtection="1">
      <alignment vertical="center"/>
    </xf>
    <xf numFmtId="166" fontId="79" fillId="0" borderId="20" xfId="0" applyNumberFormat="1" applyFont="1" applyFill="1" applyBorder="1" applyAlignment="1" applyProtection="1">
      <alignment horizontal="center" vertical="center"/>
    </xf>
    <xf numFmtId="43" fontId="66" fillId="0" borderId="20" xfId="2" applyFont="1" applyFill="1" applyBorder="1" applyAlignment="1" applyProtection="1">
      <alignment horizontal="right" vertical="center"/>
      <protection locked="0"/>
    </xf>
    <xf numFmtId="2" fontId="65" fillId="0" borderId="20" xfId="0" applyNumberFormat="1" applyFont="1" applyFill="1" applyBorder="1" applyAlignment="1" applyProtection="1">
      <alignment horizontal="right" vertical="center"/>
      <protection locked="0"/>
    </xf>
    <xf numFmtId="166" fontId="65" fillId="0" borderId="20" xfId="0" applyNumberFormat="1" applyFont="1" applyFill="1" applyBorder="1" applyAlignment="1" applyProtection="1">
      <alignment horizontal="right" vertical="center"/>
      <protection locked="0"/>
    </xf>
    <xf numFmtId="164" fontId="55" fillId="0" borderId="0" xfId="0" applyNumberFormat="1" applyFont="1" applyFill="1" applyBorder="1" applyAlignment="1" applyProtection="1">
      <alignment vertical="center"/>
    </xf>
    <xf numFmtId="167" fontId="55" fillId="0" borderId="0" xfId="0" applyNumberFormat="1" applyFont="1" applyFill="1" applyBorder="1" applyAlignment="1" applyProtection="1">
      <alignment vertical="center"/>
    </xf>
    <xf numFmtId="165" fontId="58" fillId="0" borderId="20" xfId="0" applyNumberFormat="1" applyFont="1" applyFill="1" applyBorder="1" applyAlignment="1" applyProtection="1">
      <alignment horizontal="right" vertical="center"/>
      <protection locked="0"/>
    </xf>
    <xf numFmtId="2" fontId="85" fillId="0" borderId="20" xfId="0" applyNumberFormat="1" applyFont="1" applyFill="1" applyBorder="1" applyAlignment="1" applyProtection="1">
      <alignment horizontal="right" vertical="center"/>
      <protection locked="0"/>
    </xf>
    <xf numFmtId="166" fontId="86" fillId="0" borderId="20" xfId="0" applyNumberFormat="1" applyFont="1" applyFill="1" applyBorder="1" applyAlignment="1" applyProtection="1">
      <alignment horizontal="right" vertical="center"/>
      <protection locked="0"/>
    </xf>
    <xf numFmtId="166" fontId="85" fillId="0" borderId="20" xfId="0" applyNumberFormat="1" applyFont="1" applyFill="1" applyBorder="1" applyAlignment="1" applyProtection="1">
      <alignment horizontal="right" vertical="center"/>
      <protection locked="0"/>
    </xf>
    <xf numFmtId="2" fontId="73" fillId="0" borderId="20" xfId="0" applyNumberFormat="1" applyFont="1" applyFill="1" applyBorder="1" applyAlignment="1" applyProtection="1">
      <alignment horizontal="right" vertical="center"/>
      <protection locked="0"/>
    </xf>
    <xf numFmtId="0" fontId="51" fillId="0" borderId="0" xfId="0" applyFont="1" applyFill="1" applyBorder="1" applyAlignment="1" applyProtection="1">
      <alignment vertical="center"/>
    </xf>
    <xf numFmtId="164" fontId="44" fillId="0" borderId="0" xfId="0" applyNumberFormat="1" applyFont="1" applyFill="1" applyBorder="1" applyAlignment="1" applyProtection="1">
      <alignment vertical="center"/>
    </xf>
    <xf numFmtId="167" fontId="44" fillId="0" borderId="0" xfId="0" applyNumberFormat="1" applyFont="1" applyFill="1" applyBorder="1" applyAlignment="1" applyProtection="1">
      <alignment vertical="center"/>
    </xf>
    <xf numFmtId="2" fontId="51" fillId="0" borderId="20" xfId="0" applyNumberFormat="1" applyFont="1" applyFill="1" applyBorder="1" applyAlignment="1" applyProtection="1">
      <alignment horizontal="right" vertical="center"/>
    </xf>
    <xf numFmtId="2" fontId="51" fillId="0" borderId="20" xfId="0" applyNumberFormat="1" applyFont="1" applyFill="1" applyBorder="1" applyAlignment="1">
      <alignment horizontal="right" vertical="center"/>
    </xf>
    <xf numFmtId="164" fontId="51" fillId="0" borderId="0" xfId="0" applyNumberFormat="1" applyFont="1" applyFill="1" applyBorder="1" applyAlignment="1" applyProtection="1">
      <alignment vertical="center"/>
    </xf>
    <xf numFmtId="167" fontId="51" fillId="0" borderId="0" xfId="0" applyNumberFormat="1" applyFont="1" applyFill="1" applyBorder="1" applyAlignment="1" applyProtection="1">
      <alignment vertical="center"/>
    </xf>
    <xf numFmtId="2" fontId="51" fillId="0" borderId="20" xfId="0" applyNumberFormat="1" applyFont="1" applyFill="1" applyBorder="1" applyAlignment="1" applyProtection="1">
      <alignment horizontal="right" vertical="center"/>
      <protection locked="0"/>
    </xf>
    <xf numFmtId="0" fontId="51" fillId="0" borderId="20" xfId="0" applyFont="1" applyFill="1" applyBorder="1" applyAlignment="1" applyProtection="1">
      <alignment horizontal="center" vertical="center" wrapText="1"/>
      <protection locked="0"/>
    </xf>
    <xf numFmtId="0" fontId="49" fillId="0" borderId="20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vertical="center"/>
    </xf>
    <xf numFmtId="0" fontId="55" fillId="0" borderId="20" xfId="0" applyFont="1" applyFill="1" applyBorder="1" applyAlignment="1" applyProtection="1">
      <alignment horizontal="left" vertical="center" wrapText="1"/>
    </xf>
    <xf numFmtId="0" fontId="55" fillId="0" borderId="20" xfId="0" applyFont="1" applyFill="1" applyBorder="1" applyAlignment="1" applyProtection="1">
      <alignment horizontal="center" vertical="center" wrapText="1"/>
    </xf>
    <xf numFmtId="0" fontId="64" fillId="0" borderId="0" xfId="0" applyFont="1" applyFill="1" applyBorder="1" applyAlignment="1" applyProtection="1">
      <alignment vertical="center"/>
    </xf>
    <xf numFmtId="0" fontId="44" fillId="0" borderId="20" xfId="0" applyFont="1" applyFill="1" applyBorder="1" applyAlignment="1" applyProtection="1">
      <alignment horizontal="left" vertical="center" wrapText="1" indent="2"/>
    </xf>
    <xf numFmtId="166" fontId="70" fillId="0" borderId="0" xfId="0" applyNumberFormat="1" applyFont="1" applyFill="1" applyBorder="1" applyAlignment="1" applyProtection="1">
      <alignment vertical="center"/>
    </xf>
    <xf numFmtId="166" fontId="62" fillId="0" borderId="0" xfId="0" applyNumberFormat="1" applyFont="1" applyFill="1" applyBorder="1" applyAlignment="1" applyProtection="1">
      <alignment vertical="center"/>
    </xf>
    <xf numFmtId="3" fontId="55" fillId="0" borderId="20" xfId="0" applyNumberFormat="1" applyFont="1" applyFill="1" applyBorder="1" applyAlignment="1" applyProtection="1">
      <alignment vertical="center"/>
    </xf>
    <xf numFmtId="3" fontId="53" fillId="0" borderId="20" xfId="0" applyNumberFormat="1" applyFont="1" applyFill="1" applyBorder="1" applyAlignment="1" applyProtection="1">
      <alignment horizontal="right" vertical="center"/>
      <protection locked="0"/>
    </xf>
    <xf numFmtId="0" fontId="44" fillId="0" borderId="20" xfId="0" applyFont="1" applyFill="1" applyBorder="1" applyAlignment="1" applyProtection="1">
      <alignment horizontal="center" vertical="center" wrapText="1"/>
    </xf>
    <xf numFmtId="2" fontId="44" fillId="0" borderId="20" xfId="0" applyNumberFormat="1" applyFont="1" applyFill="1" applyBorder="1" applyAlignment="1" applyProtection="1">
      <alignment horizontal="right" vertical="center"/>
    </xf>
    <xf numFmtId="2" fontId="44" fillId="0" borderId="20" xfId="0" applyNumberFormat="1" applyFont="1" applyFill="1" applyBorder="1" applyAlignment="1">
      <alignment horizontal="right" vertical="center"/>
    </xf>
    <xf numFmtId="0" fontId="45" fillId="0" borderId="20" xfId="0" applyFont="1" applyFill="1" applyBorder="1" applyAlignment="1" applyProtection="1">
      <alignment horizontal="left" vertical="center" wrapText="1" indent="2"/>
    </xf>
    <xf numFmtId="1" fontId="55" fillId="0" borderId="0" xfId="0" applyNumberFormat="1" applyFont="1" applyFill="1" applyBorder="1" applyAlignment="1" applyProtection="1">
      <alignment vertical="center"/>
    </xf>
    <xf numFmtId="0" fontId="94" fillId="0" borderId="20" xfId="0" applyFont="1" applyFill="1" applyBorder="1" applyAlignment="1">
      <alignment horizontal="center" vertical="center" wrapText="1"/>
    </xf>
    <xf numFmtId="49" fontId="94" fillId="0" borderId="20" xfId="0" applyNumberFormat="1" applyFont="1" applyFill="1" applyBorder="1" applyAlignment="1">
      <alignment horizontal="center" vertical="center" wrapText="1"/>
    </xf>
    <xf numFmtId="3" fontId="57" fillId="0" borderId="20" xfId="2" applyNumberFormat="1" applyFont="1" applyFill="1" applyBorder="1" applyAlignment="1" applyProtection="1">
      <alignment vertical="center"/>
      <protection locked="0"/>
    </xf>
    <xf numFmtId="2" fontId="86" fillId="0" borderId="20" xfId="0" applyNumberFormat="1" applyFont="1" applyFill="1" applyBorder="1" applyAlignment="1" applyProtection="1">
      <alignment horizontal="right" vertical="center"/>
      <protection locked="0"/>
    </xf>
    <xf numFmtId="0" fontId="59" fillId="0" borderId="20" xfId="0" applyFont="1" applyFill="1" applyBorder="1" applyAlignment="1" applyProtection="1">
      <alignment vertical="center"/>
    </xf>
    <xf numFmtId="166" fontId="55" fillId="0" borderId="20" xfId="0" applyNumberFormat="1" applyFont="1" applyFill="1" applyBorder="1" applyAlignment="1" applyProtection="1">
      <alignment vertical="center"/>
    </xf>
    <xf numFmtId="166" fontId="56" fillId="0" borderId="20" xfId="1" applyNumberFormat="1" applyFont="1" applyFill="1" applyBorder="1" applyAlignment="1" applyProtection="1">
      <alignment vertical="center"/>
    </xf>
    <xf numFmtId="0" fontId="103" fillId="0" borderId="0" xfId="0" applyFont="1" applyFill="1" applyBorder="1" applyAlignment="1" applyProtection="1">
      <alignment vertical="center"/>
    </xf>
    <xf numFmtId="171" fontId="57" fillId="0" borderId="20" xfId="0" applyNumberFormat="1" applyFont="1" applyFill="1" applyBorder="1" applyAlignment="1" applyProtection="1">
      <alignment horizontal="right" vertical="center"/>
      <protection locked="0"/>
    </xf>
    <xf numFmtId="2" fontId="44" fillId="0" borderId="20" xfId="0" applyNumberFormat="1" applyFont="1" applyFill="1" applyBorder="1" applyAlignment="1" applyProtection="1">
      <alignment horizontal="right" vertical="center"/>
      <protection locked="0"/>
    </xf>
    <xf numFmtId="167" fontId="44" fillId="0" borderId="20" xfId="1" applyNumberFormat="1" applyFont="1" applyFill="1" applyBorder="1" applyAlignment="1" applyProtection="1">
      <alignment horizontal="right" vertical="center"/>
      <protection locked="0"/>
    </xf>
    <xf numFmtId="167" fontId="55" fillId="0" borderId="0" xfId="1" applyNumberFormat="1" applyFont="1" applyFill="1" applyBorder="1" applyAlignment="1" applyProtection="1">
      <alignment vertical="center"/>
    </xf>
    <xf numFmtId="0" fontId="105" fillId="0" borderId="20" xfId="0" applyFont="1" applyFill="1" applyBorder="1" applyAlignment="1" applyProtection="1">
      <alignment horizontal="left" vertical="center" wrapText="1"/>
    </xf>
    <xf numFmtId="168" fontId="80" fillId="0" borderId="20" xfId="2" applyNumberFormat="1" applyFont="1" applyFill="1" applyBorder="1" applyAlignment="1" applyProtection="1">
      <alignment horizontal="right" vertical="center"/>
      <protection locked="0"/>
    </xf>
    <xf numFmtId="166" fontId="71" fillId="0" borderId="20" xfId="0" applyNumberFormat="1" applyFont="1" applyFill="1" applyBorder="1" applyAlignment="1" applyProtection="1">
      <alignment horizontal="right" vertical="center"/>
      <protection locked="0"/>
    </xf>
    <xf numFmtId="4" fontId="57" fillId="0" borderId="20" xfId="0" applyNumberFormat="1" applyFont="1" applyFill="1" applyBorder="1" applyAlignment="1" applyProtection="1">
      <alignment horizontal="right" vertical="center"/>
      <protection locked="0"/>
    </xf>
    <xf numFmtId="166" fontId="53" fillId="0" borderId="20" xfId="2" applyNumberFormat="1" applyFont="1" applyFill="1" applyBorder="1" applyAlignment="1" applyProtection="1">
      <alignment horizontal="right" vertical="center"/>
      <protection locked="0"/>
    </xf>
    <xf numFmtId="167" fontId="73" fillId="0" borderId="20" xfId="0" applyNumberFormat="1" applyFont="1" applyFill="1" applyBorder="1" applyAlignment="1" applyProtection="1">
      <alignment horizontal="right" vertical="center"/>
      <protection locked="0"/>
    </xf>
    <xf numFmtId="167" fontId="58" fillId="0" borderId="20" xfId="1" applyNumberFormat="1" applyFont="1" applyFill="1" applyBorder="1" applyAlignment="1" applyProtection="1">
      <alignment horizontal="right" vertical="center"/>
      <protection locked="0"/>
    </xf>
    <xf numFmtId="167" fontId="74" fillId="0" borderId="20" xfId="1" applyNumberFormat="1" applyFont="1" applyFill="1" applyBorder="1" applyAlignment="1" applyProtection="1">
      <alignment horizontal="right" vertical="center"/>
      <protection locked="0"/>
    </xf>
    <xf numFmtId="1" fontId="51" fillId="0" borderId="20" xfId="0" applyNumberFormat="1" applyFont="1" applyFill="1" applyBorder="1" applyAlignment="1" applyProtection="1">
      <alignment horizontal="right" vertical="center"/>
      <protection locked="0"/>
    </xf>
    <xf numFmtId="0" fontId="89" fillId="0" borderId="0" xfId="0" applyFont="1" applyFill="1"/>
    <xf numFmtId="0" fontId="51" fillId="0" borderId="20" xfId="0" applyFont="1" applyFill="1" applyBorder="1" applyAlignment="1" applyProtection="1">
      <alignment vertical="center"/>
    </xf>
    <xf numFmtId="166" fontId="51" fillId="0" borderId="20" xfId="0" applyNumberFormat="1" applyFont="1" applyFill="1" applyBorder="1" applyAlignment="1" applyProtection="1">
      <alignment horizontal="right" vertical="center"/>
      <protection locked="0"/>
    </xf>
    <xf numFmtId="0" fontId="90" fillId="0" borderId="0" xfId="0" applyFont="1" applyFill="1"/>
    <xf numFmtId="0" fontId="75" fillId="0" borderId="0" xfId="0" applyFont="1" applyFill="1"/>
    <xf numFmtId="0" fontId="106" fillId="0" borderId="20" xfId="0" applyFont="1" applyFill="1" applyBorder="1" applyAlignment="1" applyProtection="1">
      <alignment horizontal="left" vertical="center" wrapText="1" indent="2"/>
    </xf>
    <xf numFmtId="0" fontId="106" fillId="0" borderId="20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vertical="center" wrapText="1"/>
    </xf>
    <xf numFmtId="165" fontId="56" fillId="0" borderId="0" xfId="0" applyNumberFormat="1" applyFont="1" applyFill="1" applyBorder="1" applyAlignment="1" applyProtection="1">
      <alignment vertical="center"/>
    </xf>
    <xf numFmtId="0" fontId="77" fillId="0" borderId="0" xfId="0" applyFont="1" applyFill="1"/>
    <xf numFmtId="171" fontId="66" fillId="0" borderId="20" xfId="0" applyNumberFormat="1" applyFont="1" applyFill="1" applyBorder="1" applyAlignment="1" applyProtection="1">
      <alignment horizontal="right" vertical="center"/>
      <protection locked="0"/>
    </xf>
    <xf numFmtId="0" fontId="107" fillId="0" borderId="20" xfId="0" applyFont="1" applyFill="1" applyBorder="1" applyAlignment="1" applyProtection="1">
      <alignment horizontal="center" vertical="center" wrapText="1"/>
    </xf>
    <xf numFmtId="49" fontId="108" fillId="0" borderId="20" xfId="0" applyNumberFormat="1" applyFont="1" applyFill="1" applyBorder="1" applyAlignment="1" applyProtection="1">
      <alignment horizontal="center" vertical="center"/>
    </xf>
    <xf numFmtId="49" fontId="108" fillId="0" borderId="20" xfId="0" applyNumberFormat="1" applyFont="1" applyFill="1" applyBorder="1" applyAlignment="1" applyProtection="1">
      <alignment horizontal="right" vertical="center"/>
    </xf>
    <xf numFmtId="49" fontId="108" fillId="0" borderId="20" xfId="0" applyNumberFormat="1" applyFont="1" applyFill="1" applyBorder="1" applyAlignment="1" applyProtection="1">
      <alignment horizontal="left" vertical="center"/>
    </xf>
    <xf numFmtId="0" fontId="108" fillId="0" borderId="20" xfId="0" applyFont="1" applyFill="1" applyBorder="1" applyAlignment="1" applyProtection="1">
      <alignment vertical="center"/>
    </xf>
    <xf numFmtId="0" fontId="110" fillId="0" borderId="0" xfId="0" applyFont="1" applyFill="1" applyBorder="1" applyAlignment="1" applyProtection="1">
      <alignment vertical="center"/>
    </xf>
    <xf numFmtId="0" fontId="108" fillId="0" borderId="0" xfId="0" applyFont="1" applyFill="1" applyBorder="1" applyAlignment="1" applyProtection="1">
      <alignment vertical="center"/>
    </xf>
    <xf numFmtId="164" fontId="110" fillId="0" borderId="0" xfId="0" applyNumberFormat="1" applyFont="1" applyFill="1" applyBorder="1" applyAlignment="1" applyProtection="1">
      <alignment vertical="center"/>
    </xf>
    <xf numFmtId="167" fontId="110" fillId="0" borderId="0" xfId="0" applyNumberFormat="1" applyFont="1" applyFill="1" applyBorder="1" applyAlignment="1" applyProtection="1">
      <alignment vertical="center"/>
    </xf>
    <xf numFmtId="3" fontId="109" fillId="0" borderId="20" xfId="0" applyNumberFormat="1" applyFont="1" applyFill="1" applyBorder="1" applyAlignment="1" applyProtection="1">
      <alignment horizontal="right" vertical="center"/>
      <protection locked="0"/>
    </xf>
    <xf numFmtId="0" fontId="106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left" vertical="center" wrapText="1"/>
    </xf>
    <xf numFmtId="0" fontId="45" fillId="0" borderId="0" xfId="0" applyFont="1" applyFill="1" applyBorder="1" applyAlignment="1" applyProtection="1">
      <alignment horizontal="center" vertical="center" wrapText="1"/>
    </xf>
    <xf numFmtId="2" fontId="57" fillId="0" borderId="0" xfId="0" applyNumberFormat="1" applyFont="1" applyFill="1" applyBorder="1" applyAlignment="1" applyProtection="1">
      <alignment horizontal="right" vertical="center"/>
      <protection locked="0"/>
    </xf>
    <xf numFmtId="166" fontId="57" fillId="0" borderId="0" xfId="0" applyNumberFormat="1" applyFont="1" applyFill="1" applyBorder="1" applyAlignment="1" applyProtection="1">
      <alignment horizontal="right" vertical="center"/>
      <protection locked="0"/>
    </xf>
    <xf numFmtId="0" fontId="44" fillId="0" borderId="42" xfId="0" applyFont="1" applyFill="1" applyBorder="1" applyAlignment="1" applyProtection="1">
      <alignment horizontal="left" vertical="center" wrapText="1"/>
    </xf>
    <xf numFmtId="0" fontId="45" fillId="0" borderId="42" xfId="0" applyFont="1" applyFill="1" applyBorder="1" applyAlignment="1" applyProtection="1">
      <alignment horizontal="center" vertical="center" wrapText="1"/>
    </xf>
    <xf numFmtId="2" fontId="57" fillId="0" borderId="42" xfId="0" applyNumberFormat="1" applyFont="1" applyFill="1" applyBorder="1" applyAlignment="1" applyProtection="1">
      <alignment horizontal="right" vertical="center"/>
      <protection locked="0"/>
    </xf>
    <xf numFmtId="166" fontId="57" fillId="0" borderId="42" xfId="0" applyNumberFormat="1" applyFont="1" applyFill="1" applyBorder="1" applyAlignment="1" applyProtection="1">
      <alignment horizontal="right" vertical="center"/>
      <protection locked="0"/>
    </xf>
    <xf numFmtId="49" fontId="56" fillId="0" borderId="20" xfId="0" applyNumberFormat="1" applyFont="1" applyFill="1" applyBorder="1" applyAlignment="1" applyProtection="1">
      <alignment horizontal="center" vertical="center"/>
    </xf>
    <xf numFmtId="49" fontId="56" fillId="0" borderId="20" xfId="0" applyNumberFormat="1" applyFont="1" applyFill="1" applyBorder="1" applyAlignment="1" applyProtection="1">
      <alignment horizontal="right" vertical="center"/>
    </xf>
    <xf numFmtId="49" fontId="56" fillId="0" borderId="20" xfId="0" applyNumberFormat="1" applyFont="1" applyFill="1" applyBorder="1" applyAlignment="1" applyProtection="1">
      <alignment horizontal="left" vertical="center"/>
    </xf>
    <xf numFmtId="164" fontId="56" fillId="0" borderId="20" xfId="0" applyNumberFormat="1" applyFont="1" applyFill="1" applyBorder="1" applyAlignment="1" applyProtection="1">
      <alignment vertical="center"/>
    </xf>
    <xf numFmtId="0" fontId="51" fillId="0" borderId="20" xfId="0" applyFont="1" applyFill="1" applyBorder="1" applyAlignment="1" applyProtection="1">
      <alignment horizontal="center" vertical="center" wrapText="1"/>
    </xf>
    <xf numFmtId="49" fontId="54" fillId="0" borderId="0" xfId="0" applyNumberFormat="1" applyFont="1" applyFill="1" applyBorder="1" applyAlignment="1" applyProtection="1">
      <alignment horizontal="center" vertical="center"/>
    </xf>
    <xf numFmtId="0" fontId="51" fillId="0" borderId="2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164" fontId="9" fillId="0" borderId="0" xfId="0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0" fillId="0" borderId="20" xfId="0" applyFill="1" applyBorder="1" applyAlignment="1"/>
    <xf numFmtId="0" fontId="37" fillId="0" borderId="20" xfId="0" applyFont="1" applyFill="1" applyBorder="1" applyAlignment="1" applyProtection="1">
      <alignment horizontal="center" vertical="center"/>
    </xf>
    <xf numFmtId="166" fontId="95" fillId="0" borderId="20" xfId="0" applyNumberFormat="1" applyFont="1" applyFill="1" applyBorder="1" applyAlignment="1" applyProtection="1">
      <alignment horizontal="right" vertical="center"/>
      <protection locked="0"/>
    </xf>
    <xf numFmtId="0" fontId="68" fillId="0" borderId="0" xfId="0" applyFont="1" applyFill="1"/>
    <xf numFmtId="165" fontId="67" fillId="0" borderId="20" xfId="0" applyNumberFormat="1" applyFont="1" applyFill="1" applyBorder="1" applyAlignment="1" applyProtection="1">
      <alignment horizontal="right" vertical="center"/>
      <protection locked="0"/>
    </xf>
    <xf numFmtId="165" fontId="53" fillId="0" borderId="2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/>
    <xf numFmtId="167" fontId="45" fillId="0" borderId="20" xfId="1" applyNumberFormat="1" applyFont="1" applyFill="1" applyBorder="1" applyAlignment="1" applyProtection="1">
      <alignment horizontal="right" vertical="center"/>
      <protection locked="0"/>
    </xf>
    <xf numFmtId="166" fontId="76" fillId="0" borderId="20" xfId="0" applyNumberFormat="1" applyFont="1" applyFill="1" applyBorder="1" applyAlignment="1" applyProtection="1">
      <alignment horizontal="right" vertical="center"/>
      <protection locked="0"/>
    </xf>
    <xf numFmtId="166" fontId="83" fillId="0" borderId="20" xfId="0" applyNumberFormat="1" applyFont="1" applyFill="1" applyBorder="1" applyAlignment="1" applyProtection="1">
      <alignment horizontal="right" vertical="center"/>
      <protection locked="0"/>
    </xf>
    <xf numFmtId="168" fontId="80" fillId="0" borderId="20" xfId="2" applyNumberFormat="1" applyFont="1" applyFill="1" applyBorder="1" applyAlignment="1" applyProtection="1">
      <alignment vertical="center"/>
      <protection locked="0"/>
    </xf>
    <xf numFmtId="166" fontId="99" fillId="0" borderId="20" xfId="0" applyNumberFormat="1" applyFont="1" applyFill="1" applyBorder="1" applyAlignment="1" applyProtection="1">
      <alignment horizontal="right" vertical="center"/>
      <protection locked="0"/>
    </xf>
    <xf numFmtId="166" fontId="87" fillId="0" borderId="20" xfId="0" applyNumberFormat="1" applyFont="1" applyFill="1" applyBorder="1" applyAlignment="1" applyProtection="1">
      <alignment horizontal="right" vertical="center"/>
      <protection locked="0"/>
    </xf>
    <xf numFmtId="166" fontId="101" fillId="0" borderId="20" xfId="0" applyNumberFormat="1" applyFont="1" applyFill="1" applyBorder="1" applyAlignment="1" applyProtection="1">
      <alignment horizontal="right" vertical="center"/>
      <protection locked="0"/>
    </xf>
    <xf numFmtId="166" fontId="100" fillId="0" borderId="20" xfId="0" applyNumberFormat="1" applyFont="1" applyFill="1" applyBorder="1" applyAlignment="1" applyProtection="1">
      <alignment horizontal="right" vertical="center"/>
      <protection locked="0"/>
    </xf>
    <xf numFmtId="168" fontId="81" fillId="0" borderId="20" xfId="2" applyNumberFormat="1" applyFont="1" applyFill="1" applyBorder="1" applyAlignment="1" applyProtection="1">
      <alignment horizontal="right" vertical="center"/>
      <protection locked="0"/>
    </xf>
    <xf numFmtId="165" fontId="82" fillId="0" borderId="20" xfId="0" applyNumberFormat="1" applyFont="1" applyFill="1" applyBorder="1" applyAlignment="1" applyProtection="1">
      <alignment horizontal="right" vertical="center"/>
      <protection locked="0"/>
    </xf>
    <xf numFmtId="166" fontId="84" fillId="0" borderId="20" xfId="0" applyNumberFormat="1" applyFont="1" applyFill="1" applyBorder="1" applyAlignment="1" applyProtection="1">
      <alignment horizontal="right" vertical="center"/>
      <protection locked="0"/>
    </xf>
    <xf numFmtId="166" fontId="88" fillId="0" borderId="20" xfId="0" applyNumberFormat="1" applyFont="1" applyFill="1" applyBorder="1" applyAlignment="1" applyProtection="1">
      <alignment horizontal="right" vertical="center"/>
      <protection locked="0"/>
    </xf>
    <xf numFmtId="3" fontId="66" fillId="0" borderId="20" xfId="2" applyNumberFormat="1" applyFont="1" applyFill="1" applyBorder="1" applyAlignment="1" applyProtection="1">
      <alignment horizontal="right" vertical="center"/>
      <protection locked="0"/>
    </xf>
    <xf numFmtId="3" fontId="57" fillId="0" borderId="20" xfId="2" applyNumberFormat="1" applyFont="1" applyFill="1" applyBorder="1" applyAlignment="1" applyProtection="1">
      <alignment horizontal="right" vertical="center"/>
      <protection locked="0"/>
    </xf>
    <xf numFmtId="2" fontId="66" fillId="0" borderId="20" xfId="0" applyNumberFormat="1" applyFont="1" applyFill="1" applyBorder="1" applyAlignment="1" applyProtection="1">
      <alignment horizontal="right" vertical="center"/>
      <protection locked="0"/>
    </xf>
    <xf numFmtId="2" fontId="71" fillId="0" borderId="20" xfId="0" applyNumberFormat="1" applyFont="1" applyFill="1" applyBorder="1" applyAlignment="1" applyProtection="1">
      <alignment horizontal="right" vertical="center"/>
      <protection locked="0"/>
    </xf>
    <xf numFmtId="2" fontId="0" fillId="0" borderId="0" xfId="0" applyNumberFormat="1" applyFill="1"/>
    <xf numFmtId="10" fontId="95" fillId="0" borderId="20" xfId="0" applyNumberFormat="1" applyFont="1" applyFill="1" applyBorder="1" applyAlignment="1" applyProtection="1">
      <alignment horizontal="right" vertical="center"/>
      <protection locked="0"/>
    </xf>
    <xf numFmtId="167" fontId="95" fillId="0" borderId="20" xfId="0" applyNumberFormat="1" applyFont="1" applyFill="1" applyBorder="1" applyAlignment="1" applyProtection="1">
      <alignment horizontal="right" vertical="center"/>
      <protection locked="0"/>
    </xf>
    <xf numFmtId="167" fontId="67" fillId="0" borderId="20" xfId="0" applyNumberFormat="1" applyFont="1" applyFill="1" applyBorder="1" applyAlignment="1" applyProtection="1">
      <alignment horizontal="right" vertical="center"/>
      <protection locked="0"/>
    </xf>
    <xf numFmtId="1" fontId="71" fillId="0" borderId="20" xfId="0" applyNumberFormat="1" applyFont="1" applyFill="1" applyBorder="1" applyAlignment="1" applyProtection="1">
      <alignment horizontal="right" vertical="center"/>
      <protection locked="0"/>
    </xf>
    <xf numFmtId="165" fontId="86" fillId="0" borderId="20" xfId="0" applyNumberFormat="1" applyFont="1" applyFill="1" applyBorder="1" applyAlignment="1" applyProtection="1">
      <alignment horizontal="right" vertical="center"/>
      <protection locked="0"/>
    </xf>
    <xf numFmtId="0" fontId="72" fillId="0" borderId="20" xfId="0" applyFont="1" applyFill="1" applyBorder="1" applyAlignment="1" applyProtection="1">
      <alignment vertical="center"/>
    </xf>
    <xf numFmtId="4" fontId="72" fillId="0" borderId="20" xfId="0" applyNumberFormat="1" applyFont="1" applyFill="1" applyBorder="1" applyAlignment="1" applyProtection="1">
      <alignment vertical="center"/>
    </xf>
    <xf numFmtId="166" fontId="72" fillId="0" borderId="20" xfId="0" applyNumberFormat="1" applyFont="1" applyFill="1" applyBorder="1" applyAlignment="1" applyProtection="1">
      <alignment vertical="center"/>
    </xf>
    <xf numFmtId="164" fontId="72" fillId="0" borderId="20" xfId="0" applyNumberFormat="1" applyFont="1" applyFill="1" applyBorder="1" applyAlignment="1" applyProtection="1">
      <alignment vertical="center"/>
    </xf>
    <xf numFmtId="164" fontId="66" fillId="0" borderId="20" xfId="0" applyNumberFormat="1" applyFont="1" applyFill="1" applyBorder="1" applyAlignment="1" applyProtection="1">
      <alignment horizontal="right" vertical="center"/>
      <protection locked="0"/>
    </xf>
    <xf numFmtId="165" fontId="56" fillId="0" borderId="20" xfId="0" applyNumberFormat="1" applyFont="1" applyFill="1" applyBorder="1" applyAlignment="1" applyProtection="1">
      <alignment vertical="center"/>
    </xf>
    <xf numFmtId="164" fontId="57" fillId="0" borderId="20" xfId="0" applyNumberFormat="1" applyFont="1" applyFill="1" applyBorder="1" applyAlignment="1" applyProtection="1">
      <alignment horizontal="right" vertical="center"/>
      <protection locked="0"/>
    </xf>
    <xf numFmtId="3" fontId="57" fillId="0" borderId="20" xfId="0" applyNumberFormat="1" applyFont="1" applyFill="1" applyBorder="1" applyAlignment="1" applyProtection="1">
      <alignment horizontal="right" vertical="center"/>
      <protection locked="0"/>
    </xf>
    <xf numFmtId="166" fontId="66" fillId="0" borderId="20" xfId="0" applyNumberFormat="1" applyFont="1" applyFill="1" applyBorder="1" applyAlignment="1" applyProtection="1">
      <alignment vertical="center"/>
    </xf>
    <xf numFmtId="166" fontId="74" fillId="0" borderId="20" xfId="0" applyNumberFormat="1" applyFont="1" applyFill="1" applyBorder="1" applyAlignment="1" applyProtection="1">
      <alignment horizontal="right" vertical="center"/>
      <protection locked="0"/>
    </xf>
    <xf numFmtId="166" fontId="98" fillId="0" borderId="20" xfId="0" applyNumberFormat="1" applyFont="1" applyFill="1" applyBorder="1" applyAlignment="1" applyProtection="1">
      <alignment horizontal="right" vertical="center"/>
      <protection locked="0"/>
    </xf>
    <xf numFmtId="10" fontId="73" fillId="0" borderId="20" xfId="0" applyNumberFormat="1" applyFont="1" applyFill="1" applyBorder="1" applyAlignment="1" applyProtection="1">
      <alignment horizontal="right" vertical="center"/>
      <protection locked="0"/>
    </xf>
    <xf numFmtId="2" fontId="78" fillId="0" borderId="20" xfId="0" applyNumberFormat="1" applyFont="1" applyFill="1" applyBorder="1" applyAlignment="1" applyProtection="1">
      <alignment horizontal="right" vertical="center"/>
      <protection locked="0"/>
    </xf>
    <xf numFmtId="1" fontId="45" fillId="0" borderId="20" xfId="0" applyNumberFormat="1" applyFont="1" applyFill="1" applyBorder="1" applyAlignment="1" applyProtection="1">
      <alignment horizontal="right" vertical="center"/>
      <protection locked="0"/>
    </xf>
    <xf numFmtId="170" fontId="45" fillId="0" borderId="20" xfId="0" applyNumberFormat="1" applyFont="1" applyFill="1" applyBorder="1" applyAlignment="1" applyProtection="1">
      <alignment horizontal="right" vertical="center"/>
      <protection locked="0"/>
    </xf>
    <xf numFmtId="1" fontId="78" fillId="0" borderId="20" xfId="0" applyNumberFormat="1" applyFont="1" applyFill="1" applyBorder="1" applyAlignment="1" applyProtection="1">
      <alignment horizontal="right" vertical="center"/>
      <protection locked="0"/>
    </xf>
    <xf numFmtId="165" fontId="77" fillId="0" borderId="0" xfId="0" applyNumberFormat="1" applyFont="1" applyFill="1"/>
    <xf numFmtId="3" fontId="45" fillId="0" borderId="20" xfId="0" applyNumberFormat="1" applyFont="1" applyFill="1" applyBorder="1" applyAlignment="1" applyProtection="1">
      <alignment horizontal="right" vertical="center"/>
      <protection locked="0"/>
    </xf>
    <xf numFmtId="3" fontId="78" fillId="0" borderId="20" xfId="0" applyNumberFormat="1" applyFont="1" applyFill="1" applyBorder="1" applyAlignment="1" applyProtection="1">
      <alignment horizontal="right" vertical="center"/>
      <protection locked="0"/>
    </xf>
    <xf numFmtId="164" fontId="51" fillId="0" borderId="20" xfId="0" applyNumberFormat="1" applyFont="1" applyFill="1" applyBorder="1" applyAlignment="1" applyProtection="1">
      <alignment horizontal="right" vertical="center"/>
      <protection locked="0"/>
    </xf>
    <xf numFmtId="165" fontId="45" fillId="0" borderId="20" xfId="0" applyNumberFormat="1" applyFont="1" applyFill="1" applyBorder="1" applyAlignment="1" applyProtection="1">
      <alignment horizontal="right" vertical="center"/>
      <protection locked="0"/>
    </xf>
    <xf numFmtId="169" fontId="45" fillId="0" borderId="20" xfId="0" applyNumberFormat="1" applyFont="1" applyFill="1" applyBorder="1" applyAlignment="1" applyProtection="1">
      <alignment horizontal="right" vertical="center"/>
      <protection locked="0"/>
    </xf>
    <xf numFmtId="165" fontId="51" fillId="0" borderId="20" xfId="0" applyNumberFormat="1" applyFont="1" applyFill="1" applyBorder="1" applyAlignment="1" applyProtection="1">
      <alignment horizontal="right" vertical="center"/>
      <protection locked="0"/>
    </xf>
    <xf numFmtId="172" fontId="45" fillId="0" borderId="20" xfId="0" applyNumberFormat="1" applyFont="1" applyFill="1" applyBorder="1" applyAlignment="1" applyProtection="1">
      <alignment horizontal="right" vertical="center"/>
      <protection locked="0"/>
    </xf>
    <xf numFmtId="167" fontId="57" fillId="0" borderId="20" xfId="1" applyNumberFormat="1" applyFont="1" applyFill="1" applyBorder="1" applyAlignment="1" applyProtection="1">
      <alignment horizontal="right" vertical="center"/>
      <protection locked="0"/>
    </xf>
    <xf numFmtId="166" fontId="55" fillId="0" borderId="20" xfId="0" applyNumberFormat="1" applyFont="1" applyFill="1" applyBorder="1" applyAlignment="1" applyProtection="1">
      <alignment horizontal="right" vertical="center"/>
      <protection locked="0"/>
    </xf>
    <xf numFmtId="165" fontId="49" fillId="0" borderId="20" xfId="0" applyNumberFormat="1" applyFont="1" applyFill="1" applyBorder="1" applyAlignment="1" applyProtection="1">
      <alignment horizontal="right" vertical="center"/>
      <protection locked="0"/>
    </xf>
    <xf numFmtId="2" fontId="91" fillId="0" borderId="20" xfId="0" applyNumberFormat="1" applyFont="1" applyFill="1" applyBorder="1" applyAlignment="1" applyProtection="1">
      <alignment horizontal="right" vertical="center"/>
      <protection locked="0"/>
    </xf>
    <xf numFmtId="166" fontId="91" fillId="0" borderId="20" xfId="0" applyNumberFormat="1" applyFont="1" applyFill="1" applyBorder="1" applyAlignment="1" applyProtection="1">
      <alignment horizontal="right" vertical="center"/>
      <protection locked="0"/>
    </xf>
    <xf numFmtId="165" fontId="92" fillId="0" borderId="20" xfId="2" applyNumberFormat="1" applyFont="1" applyFill="1" applyBorder="1" applyAlignment="1">
      <alignment horizontal="right" vertical="center" wrapText="1"/>
    </xf>
    <xf numFmtId="165" fontId="92" fillId="0" borderId="20" xfId="0" applyNumberFormat="1" applyFont="1" applyFill="1" applyBorder="1" applyAlignment="1">
      <alignment horizontal="right" vertical="center"/>
    </xf>
    <xf numFmtId="166" fontId="93" fillId="0" borderId="20" xfId="0" applyNumberFormat="1" applyFont="1" applyFill="1" applyBorder="1" applyAlignment="1" applyProtection="1">
      <alignment horizontal="right" vertical="center"/>
      <protection locked="0"/>
    </xf>
    <xf numFmtId="2" fontId="80" fillId="0" borderId="20" xfId="0" applyNumberFormat="1" applyFont="1" applyFill="1" applyBorder="1" applyAlignment="1" applyProtection="1">
      <alignment horizontal="right" vertical="center"/>
      <protection locked="0"/>
    </xf>
    <xf numFmtId="166" fontId="80" fillId="0" borderId="20" xfId="0" applyNumberFormat="1" applyFont="1" applyFill="1" applyBorder="1" applyAlignment="1" applyProtection="1">
      <alignment horizontal="right" vertical="center"/>
      <protection locked="0"/>
    </xf>
    <xf numFmtId="166" fontId="79" fillId="0" borderId="20" xfId="0" applyNumberFormat="1" applyFont="1" applyFill="1" applyBorder="1" applyAlignment="1" applyProtection="1">
      <alignment vertical="center"/>
    </xf>
    <xf numFmtId="166" fontId="102" fillId="0" borderId="20" xfId="0" applyNumberFormat="1" applyFont="1" applyFill="1" applyBorder="1" applyAlignment="1" applyProtection="1">
      <alignment horizontal="right" vertical="center"/>
      <protection locked="0"/>
    </xf>
    <xf numFmtId="3" fontId="66" fillId="0" borderId="20" xfId="0" applyNumberFormat="1" applyFont="1" applyFill="1" applyBorder="1" applyAlignment="1" applyProtection="1">
      <alignment horizontal="right" vertical="center"/>
      <protection locked="0"/>
    </xf>
    <xf numFmtId="0" fontId="44" fillId="0" borderId="0" xfId="0" applyFont="1" applyFill="1"/>
    <xf numFmtId="164" fontId="102" fillId="0" borderId="20" xfId="0" applyNumberFormat="1" applyFont="1" applyFill="1" applyBorder="1" applyAlignment="1" applyProtection="1">
      <alignment horizontal="right" vertical="center"/>
      <protection locked="0"/>
    </xf>
    <xf numFmtId="164" fontId="104" fillId="0" borderId="20" xfId="0" applyNumberFormat="1" applyFont="1" applyFill="1" applyBorder="1" applyAlignment="1" applyProtection="1">
      <alignment horizontal="right" vertical="center"/>
      <protection locked="0"/>
    </xf>
    <xf numFmtId="171" fontId="80" fillId="0" borderId="20" xfId="0" applyNumberFormat="1" applyFont="1" applyFill="1" applyBorder="1" applyAlignment="1">
      <alignment horizontal="right" vertical="center" wrapText="1"/>
    </xf>
    <xf numFmtId="171" fontId="71" fillId="0" borderId="20" xfId="0" applyNumberFormat="1" applyFont="1" applyFill="1" applyBorder="1" applyAlignment="1">
      <alignment horizontal="right" vertical="center" wrapText="1"/>
    </xf>
    <xf numFmtId="166" fontId="78" fillId="0" borderId="20" xfId="0" applyNumberFormat="1" applyFont="1" applyFill="1" applyBorder="1" applyAlignment="1" applyProtection="1">
      <alignment horizontal="right" vertical="center"/>
      <protection locked="0"/>
    </xf>
    <xf numFmtId="2" fontId="5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5" fontId="80" fillId="0" borderId="20" xfId="0" applyNumberFormat="1" applyFont="1" applyFill="1" applyBorder="1" applyAlignment="1" applyProtection="1">
      <alignment horizontal="right" vertical="center"/>
      <protection locked="0"/>
    </xf>
    <xf numFmtId="3" fontId="81" fillId="0" borderId="20" xfId="0" applyNumberFormat="1" applyFont="1" applyFill="1" applyBorder="1" applyAlignment="1" applyProtection="1">
      <alignment horizontal="right" vertical="center"/>
      <protection locked="0"/>
    </xf>
    <xf numFmtId="3" fontId="69" fillId="0" borderId="20" xfId="0" applyNumberFormat="1" applyFont="1" applyFill="1" applyBorder="1" applyAlignment="1" applyProtection="1">
      <alignment horizontal="right" vertical="center"/>
      <protection locked="0"/>
    </xf>
    <xf numFmtId="3" fontId="80" fillId="0" borderId="20" xfId="0" applyNumberFormat="1" applyFont="1" applyFill="1" applyBorder="1" applyAlignment="1" applyProtection="1">
      <alignment horizontal="right" vertical="center"/>
      <protection locked="0"/>
    </xf>
    <xf numFmtId="2" fontId="108" fillId="0" borderId="20" xfId="0" applyNumberFormat="1" applyFont="1" applyFill="1" applyBorder="1" applyAlignment="1" applyProtection="1">
      <alignment horizontal="right" vertical="center"/>
    </xf>
    <xf numFmtId="0" fontId="105" fillId="0" borderId="20" xfId="0" applyFont="1" applyFill="1" applyBorder="1" applyAlignment="1">
      <alignment horizontal="center" vertical="center" wrapText="1"/>
    </xf>
    <xf numFmtId="49" fontId="105" fillId="0" borderId="20" xfId="0" applyNumberFormat="1" applyFont="1" applyFill="1" applyBorder="1" applyAlignment="1">
      <alignment horizontal="center" vertical="center" wrapText="1"/>
    </xf>
    <xf numFmtId="2" fontId="111" fillId="0" borderId="20" xfId="0" applyNumberFormat="1" applyFont="1" applyFill="1" applyBorder="1" applyAlignment="1">
      <alignment horizontal="right" vertical="center"/>
    </xf>
    <xf numFmtId="0" fontId="96" fillId="0" borderId="0" xfId="0" applyFont="1" applyFill="1"/>
    <xf numFmtId="0" fontId="115" fillId="0" borderId="0" xfId="0" applyFont="1" applyFill="1" applyAlignment="1">
      <alignment horizontal="center"/>
    </xf>
    <xf numFmtId="0" fontId="112" fillId="0" borderId="20" xfId="0" applyFont="1" applyFill="1" applyBorder="1" applyAlignment="1" applyProtection="1">
      <alignment horizontal="left" vertical="center" wrapText="1"/>
    </xf>
    <xf numFmtId="0" fontId="112" fillId="0" borderId="20" xfId="0" applyFont="1" applyFill="1" applyBorder="1" applyAlignment="1" applyProtection="1">
      <alignment horizontal="center" vertical="center" wrapText="1"/>
    </xf>
    <xf numFmtId="2" fontId="113" fillId="0" borderId="20" xfId="0" applyNumberFormat="1" applyFont="1" applyFill="1" applyBorder="1" applyAlignment="1" applyProtection="1">
      <alignment horizontal="right" vertical="center"/>
    </xf>
    <xf numFmtId="0" fontId="112" fillId="0" borderId="20" xfId="0" applyFont="1" applyFill="1" applyBorder="1" applyAlignment="1">
      <alignment horizontal="center" vertical="center" wrapText="1"/>
    </xf>
    <xf numFmtId="49" fontId="112" fillId="0" borderId="20" xfId="0" applyNumberFormat="1" applyFont="1" applyFill="1" applyBorder="1" applyAlignment="1">
      <alignment horizontal="center" vertical="center" wrapText="1"/>
    </xf>
    <xf numFmtId="2" fontId="104" fillId="0" borderId="20" xfId="0" applyNumberFormat="1" applyFont="1" applyFill="1" applyBorder="1" applyAlignment="1">
      <alignment horizontal="right" vertical="center"/>
    </xf>
    <xf numFmtId="171" fontId="104" fillId="0" borderId="20" xfId="0" applyNumberFormat="1" applyFont="1" applyFill="1" applyBorder="1" applyAlignment="1">
      <alignment horizontal="right" vertical="center" wrapText="1"/>
    </xf>
    <xf numFmtId="0" fontId="112" fillId="0" borderId="0" xfId="0" applyFont="1" applyFill="1" applyBorder="1" applyAlignment="1" applyProtection="1">
      <alignment vertical="center"/>
    </xf>
    <xf numFmtId="0" fontId="114" fillId="0" borderId="0" xfId="0" applyFont="1" applyFill="1"/>
    <xf numFmtId="164" fontId="113" fillId="0" borderId="0" xfId="0" applyNumberFormat="1" applyFont="1" applyFill="1" applyBorder="1" applyAlignment="1" applyProtection="1">
      <alignment vertical="center"/>
    </xf>
    <xf numFmtId="167" fontId="113" fillId="0" borderId="0" xfId="0" applyNumberFormat="1" applyFont="1" applyFill="1" applyBorder="1" applyAlignment="1" applyProtection="1">
      <alignment vertical="center"/>
    </xf>
    <xf numFmtId="0" fontId="113" fillId="0" borderId="0" xfId="0" applyFont="1" applyFill="1" applyBorder="1" applyAlignment="1" applyProtection="1">
      <alignment vertical="center"/>
    </xf>
    <xf numFmtId="2" fontId="69" fillId="0" borderId="20" xfId="0" applyNumberFormat="1" applyFont="1" applyFill="1" applyBorder="1" applyAlignment="1" applyProtection="1">
      <alignment horizontal="right" vertical="center"/>
      <protection locked="0"/>
    </xf>
    <xf numFmtId="165" fontId="69" fillId="0" borderId="20" xfId="0" applyNumberFormat="1" applyFont="1" applyFill="1" applyBorder="1" applyAlignment="1" applyProtection="1">
      <alignment horizontal="right" vertical="center"/>
      <protection locked="0"/>
    </xf>
    <xf numFmtId="1" fontId="57" fillId="0" borderId="20" xfId="0" applyNumberFormat="1" applyFont="1" applyFill="1" applyBorder="1" applyAlignment="1" applyProtection="1">
      <alignment horizontal="right" vertical="center"/>
      <protection locked="0"/>
    </xf>
    <xf numFmtId="166" fontId="81" fillId="0" borderId="20" xfId="0" applyNumberFormat="1" applyFont="1" applyFill="1" applyBorder="1" applyAlignment="1" applyProtection="1">
      <alignment horizontal="right" vertical="center"/>
      <protection locked="0"/>
    </xf>
    <xf numFmtId="0" fontId="115" fillId="0" borderId="0" xfId="0" applyFont="1" applyFill="1" applyAlignment="1">
      <alignment horizontal="right"/>
    </xf>
    <xf numFmtId="49" fontId="34" fillId="0" borderId="0" xfId="0" applyNumberFormat="1" applyFont="1" applyFill="1" applyBorder="1" applyAlignment="1" applyProtection="1">
      <alignment horizontal="center" vertical="center" wrapText="1"/>
    </xf>
    <xf numFmtId="0" fontId="115" fillId="0" borderId="0" xfId="0" applyFont="1" applyFill="1" applyAlignment="1">
      <alignment horizontal="left"/>
    </xf>
    <xf numFmtId="49" fontId="54" fillId="0" borderId="0" xfId="0" applyNumberFormat="1" applyFont="1" applyFill="1" applyBorder="1" applyAlignment="1" applyProtection="1">
      <alignment horizontal="center" vertical="center"/>
    </xf>
    <xf numFmtId="0" fontId="51" fillId="0" borderId="20" xfId="0" applyFont="1" applyFill="1" applyBorder="1" applyAlignment="1" applyProtection="1">
      <alignment horizontal="center" vertical="center" wrapText="1"/>
    </xf>
    <xf numFmtId="0" fontId="51" fillId="0" borderId="20" xfId="0" applyFont="1" applyFill="1" applyBorder="1" applyAlignment="1" applyProtection="1">
      <alignment horizontal="center" vertical="center"/>
    </xf>
    <xf numFmtId="0" fontId="52" fillId="0" borderId="20" xfId="0" applyFont="1" applyFill="1" applyBorder="1" applyAlignment="1" applyProtection="1">
      <alignment horizontal="center" vertical="center"/>
    </xf>
    <xf numFmtId="0" fontId="0" fillId="0" borderId="20" xfId="0" applyFill="1" applyBorder="1" applyAlignment="1"/>
    <xf numFmtId="0" fontId="0" fillId="0" borderId="20" xfId="0" applyFill="1" applyBorder="1" applyAlignment="1">
      <alignment horizontal="center" vertical="center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17" fillId="0" borderId="44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43" xfId="0" applyFont="1" applyBorder="1" applyAlignment="1" applyProtection="1">
      <alignment horizontal="left" vertical="top" wrapText="1"/>
    </xf>
    <xf numFmtId="2" fontId="26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4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horizontal="center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20" dropStyle="combo" dx="16" fmlaLink="$B$3" fmlaRange="Subjects!$A$1:$A$89" val="0"/>
</file>

<file path=xl/ctrlProps/ctrlProp2.xml><?xml version="1.0" encoding="utf-8"?>
<formControlPr xmlns="http://schemas.microsoft.com/office/spreadsheetml/2009/9/main" objectType="Drop" dropLines="21" dropStyle="combo" dx="16" fmlaLink="$C$3" fmlaRange="Subjects!$A$92:$A$114" sel="2" val="0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2333625</xdr:colOff>
          <xdr:row>2</xdr:row>
          <xdr:rowOff>38100</xdr:rowOff>
        </xdr:from>
        <xdr:to>
          <xdr:col>2</xdr:col>
          <xdr:colOff>323850</xdr:colOff>
          <xdr:row>3</xdr:row>
          <xdr:rowOff>9525</xdr:rowOff>
        </xdr:to>
        <xdr:sp macro="" textlink="">
          <xdr:nvSpPr>
            <xdr:cNvPr id="6640" name="cbSubj" hidden="1">
              <a:extLst>
                <a:ext uri="{63B3BB69-23CF-44E3-9099-C40C66FF867C}">
                  <a14:compatExt spid="_x0000_s6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1571625</xdr:colOff>
          <xdr:row>5</xdr:row>
          <xdr:rowOff>114300</xdr:rowOff>
        </xdr:from>
        <xdr:to>
          <xdr:col>2</xdr:col>
          <xdr:colOff>304800</xdr:colOff>
          <xdr:row>6</xdr:row>
          <xdr:rowOff>0</xdr:rowOff>
        </xdr:to>
        <xdr:sp macro="" textlink="">
          <xdr:nvSpPr>
            <xdr:cNvPr id="6641" name="Drop Down 497" hidden="1">
              <a:extLst>
                <a:ext uri="{63B3BB69-23CF-44E3-9099-C40C66FF867C}">
                  <a14:compatExt spid="_x0000_s6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</xdr:rowOff>
        </xdr:from>
        <xdr:to>
          <xdr:col>0</xdr:col>
          <xdr:colOff>1590675</xdr:colOff>
          <xdr:row>1</xdr:row>
          <xdr:rowOff>0</xdr:rowOff>
        </xdr:to>
        <xdr:sp macro="" textlink="">
          <xdr:nvSpPr>
            <xdr:cNvPr id="6642" name="Button 498" hidden="1">
              <a:extLst>
                <a:ext uri="{63B3BB69-23CF-44E3-9099-C40C66FF867C}">
                  <a14:compatExt spid="_x0000_s6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1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Проверка корректности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BD587"/>
  <sheetViews>
    <sheetView showGridLines="0" tabSelected="1" view="pageBreakPreview" zoomScale="92" zoomScaleSheetLayoutView="92" workbookViewId="0">
      <selection activeCell="S7" sqref="S7"/>
    </sheetView>
  </sheetViews>
  <sheetFormatPr defaultColWidth="8.85546875" defaultRowHeight="12.75" x14ac:dyDescent="0.2"/>
  <cols>
    <col min="1" max="1" width="34.140625" style="267" customWidth="1"/>
    <col min="2" max="2" width="20" style="343" customWidth="1"/>
    <col min="3" max="3" width="9.42578125" style="268" hidden="1" customWidth="1"/>
    <col min="4" max="4" width="5.140625" style="268" hidden="1" customWidth="1"/>
    <col min="5" max="5" width="6.28515625" style="269" hidden="1" customWidth="1"/>
    <col min="6" max="6" width="8.42578125" style="268" hidden="1" customWidth="1"/>
    <col min="7" max="7" width="4.7109375" style="270" hidden="1" customWidth="1"/>
    <col min="8" max="8" width="10.140625" style="267" hidden="1" customWidth="1"/>
    <col min="9" max="9" width="9.5703125" style="267" hidden="1" customWidth="1"/>
    <col min="10" max="10" width="9.28515625" style="267" hidden="1" customWidth="1"/>
    <col min="11" max="11" width="10.28515625" style="267" hidden="1" customWidth="1"/>
    <col min="12" max="16" width="12.42578125" style="267" hidden="1" customWidth="1"/>
    <col min="17" max="18" width="13.140625" style="267" bestFit="1" customWidth="1"/>
    <col min="19" max="25" width="13.28515625" style="267" customWidth="1"/>
    <col min="26" max="39" width="9.140625" style="31" customWidth="1"/>
    <col min="40" max="40" width="13.7109375" style="267" customWidth="1"/>
    <col min="41" max="42" width="12.42578125" style="267" bestFit="1" customWidth="1"/>
    <col min="43" max="43" width="10.7109375" style="267" customWidth="1"/>
    <col min="44" max="44" width="12.42578125" style="267" bestFit="1" customWidth="1"/>
    <col min="45" max="49" width="8.85546875" style="267"/>
    <col min="50" max="50" width="9.140625" style="267" bestFit="1" customWidth="1"/>
    <col min="51" max="16384" width="8.85546875" style="267"/>
  </cols>
  <sheetData>
    <row r="1" spans="1:41" ht="18.75" x14ac:dyDescent="0.3">
      <c r="N1" s="472"/>
      <c r="O1" s="472"/>
      <c r="P1" s="473"/>
      <c r="Q1" s="473"/>
      <c r="R1" s="474"/>
      <c r="S1" s="473"/>
      <c r="T1" s="578" t="s">
        <v>1137</v>
      </c>
      <c r="U1" s="578"/>
      <c r="V1" s="578"/>
      <c r="W1" s="578"/>
      <c r="X1" s="578"/>
      <c r="Y1" s="578"/>
      <c r="Z1" s="267"/>
      <c r="AA1" s="267"/>
      <c r="AB1" s="267"/>
      <c r="AC1" s="267"/>
      <c r="AD1" s="267"/>
      <c r="AE1" s="267"/>
      <c r="AF1" s="267"/>
      <c r="AG1" s="267"/>
      <c r="AH1" s="267"/>
      <c r="AI1" s="267"/>
    </row>
    <row r="2" spans="1:41" ht="18.75" x14ac:dyDescent="0.3">
      <c r="N2" s="472"/>
      <c r="O2" s="472"/>
      <c r="P2" s="473"/>
      <c r="Q2" s="473"/>
      <c r="R2" s="474"/>
      <c r="S2" s="473"/>
      <c r="T2" s="578" t="s">
        <v>1138</v>
      </c>
      <c r="U2" s="578"/>
      <c r="V2" s="578"/>
      <c r="W2" s="578"/>
      <c r="X2" s="578"/>
      <c r="Y2" s="578"/>
      <c r="Z2" s="267"/>
      <c r="AA2" s="267"/>
      <c r="AB2" s="267"/>
      <c r="AC2" s="267"/>
      <c r="AD2" s="267"/>
      <c r="AE2" s="267"/>
      <c r="AF2" s="267"/>
      <c r="AG2" s="267"/>
      <c r="AH2" s="267"/>
      <c r="AI2" s="267"/>
    </row>
    <row r="3" spans="1:41" ht="18.75" x14ac:dyDescent="0.3">
      <c r="N3" s="472"/>
      <c r="O3" s="472"/>
      <c r="P3" s="473"/>
      <c r="Q3" s="473"/>
      <c r="R3" s="474"/>
      <c r="S3" s="473"/>
      <c r="T3" s="578" t="s">
        <v>1139</v>
      </c>
      <c r="U3" s="578"/>
      <c r="V3" s="578"/>
      <c r="W3" s="578"/>
      <c r="X3" s="578"/>
      <c r="Y3" s="578"/>
      <c r="Z3" s="267"/>
      <c r="AA3" s="267"/>
      <c r="AB3" s="267"/>
      <c r="AC3" s="267"/>
      <c r="AD3" s="267"/>
      <c r="AE3" s="267"/>
      <c r="AF3" s="267"/>
      <c r="AG3" s="267"/>
      <c r="AH3" s="267"/>
      <c r="AI3" s="267"/>
    </row>
    <row r="4" spans="1:41" ht="18.75" x14ac:dyDescent="0.3">
      <c r="N4" s="472"/>
      <c r="O4" s="472"/>
      <c r="P4" s="473"/>
      <c r="Q4" s="473"/>
      <c r="R4" s="474"/>
      <c r="S4" s="473"/>
      <c r="T4" s="578" t="s">
        <v>1143</v>
      </c>
      <c r="U4" s="578"/>
      <c r="V4" s="578"/>
      <c r="W4" s="578"/>
      <c r="X4" s="578"/>
      <c r="Y4" s="578"/>
      <c r="Z4" s="267"/>
      <c r="AA4" s="267"/>
      <c r="AB4" s="267"/>
      <c r="AC4" s="267"/>
      <c r="AD4" s="267"/>
      <c r="AE4" s="267"/>
      <c r="AF4" s="267"/>
      <c r="AG4" s="267"/>
      <c r="AH4" s="267"/>
      <c r="AI4" s="267"/>
    </row>
    <row r="5" spans="1:41" ht="21" customHeight="1" x14ac:dyDescent="0.2">
      <c r="N5" s="581"/>
      <c r="O5" s="581"/>
      <c r="P5" s="581"/>
      <c r="Q5" s="581"/>
      <c r="R5" s="581"/>
      <c r="S5" s="581"/>
      <c r="T5" s="581"/>
      <c r="U5" s="581"/>
      <c r="V5" s="470"/>
      <c r="W5" s="470"/>
      <c r="X5" s="470"/>
      <c r="Z5" s="267"/>
      <c r="AA5" s="267"/>
      <c r="AB5" s="267"/>
      <c r="AC5" s="267"/>
      <c r="AD5" s="267"/>
      <c r="AE5" s="267"/>
      <c r="AF5" s="267"/>
      <c r="AG5" s="267"/>
      <c r="AH5" s="267"/>
      <c r="AI5" s="267"/>
    </row>
    <row r="6" spans="1:41" ht="21.75" customHeight="1" x14ac:dyDescent="0.2">
      <c r="A6" s="579" t="s">
        <v>1140</v>
      </c>
      <c r="B6" s="579"/>
      <c r="C6" s="579"/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79"/>
      <c r="R6" s="579"/>
      <c r="S6" s="579"/>
      <c r="T6" s="579"/>
      <c r="U6" s="579"/>
      <c r="V6" s="579"/>
      <c r="W6" s="579"/>
      <c r="X6" s="579"/>
      <c r="Z6" s="267"/>
      <c r="AA6" s="267"/>
      <c r="AB6" s="267"/>
      <c r="AC6" s="267"/>
      <c r="AD6" s="267"/>
      <c r="AE6" s="267"/>
      <c r="AF6" s="267"/>
      <c r="AG6" s="267"/>
      <c r="AH6" s="267"/>
      <c r="AI6" s="267"/>
    </row>
    <row r="8" spans="1:41" x14ac:dyDescent="0.2">
      <c r="N8" s="477"/>
    </row>
    <row r="9" spans="1:41" ht="31.5" x14ac:dyDescent="0.2">
      <c r="A9" s="583" t="s">
        <v>454</v>
      </c>
      <c r="B9" s="584" t="s">
        <v>455</v>
      </c>
      <c r="C9" s="272" t="s">
        <v>456</v>
      </c>
      <c r="D9" s="273" t="s">
        <v>457</v>
      </c>
      <c r="E9" s="273" t="s">
        <v>458</v>
      </c>
      <c r="F9" s="273" t="s">
        <v>459</v>
      </c>
      <c r="G9" s="274" t="s">
        <v>460</v>
      </c>
      <c r="H9" s="469" t="s">
        <v>461</v>
      </c>
      <c r="I9" s="469"/>
      <c r="J9" s="469"/>
      <c r="K9" s="469"/>
      <c r="L9" s="469" t="s">
        <v>461</v>
      </c>
      <c r="M9" s="469" t="s">
        <v>461</v>
      </c>
      <c r="N9" s="469" t="s">
        <v>461</v>
      </c>
      <c r="O9" s="469" t="s">
        <v>461</v>
      </c>
      <c r="P9" s="469" t="s">
        <v>461</v>
      </c>
      <c r="Q9" s="469" t="s">
        <v>461</v>
      </c>
      <c r="R9" s="469" t="s">
        <v>461</v>
      </c>
      <c r="S9" s="469" t="s">
        <v>532</v>
      </c>
      <c r="T9" s="582" t="s">
        <v>528</v>
      </c>
      <c r="U9" s="582"/>
      <c r="V9" s="585"/>
      <c r="W9" s="585"/>
      <c r="X9" s="585"/>
      <c r="Y9" s="478"/>
    </row>
    <row r="10" spans="1:41" x14ac:dyDescent="0.2">
      <c r="A10" s="583"/>
      <c r="B10" s="584"/>
      <c r="C10" s="471"/>
      <c r="D10" s="471"/>
      <c r="E10" s="275"/>
      <c r="F10" s="471"/>
      <c r="G10" s="274"/>
      <c r="H10" s="471">
        <v>1998</v>
      </c>
      <c r="I10" s="471">
        <v>1999</v>
      </c>
      <c r="J10" s="471">
        <v>2000</v>
      </c>
      <c r="K10" s="471">
        <v>2001</v>
      </c>
      <c r="L10" s="583">
        <v>2008</v>
      </c>
      <c r="M10" s="583" t="s">
        <v>519</v>
      </c>
      <c r="N10" s="583" t="s">
        <v>520</v>
      </c>
      <c r="O10" s="583" t="s">
        <v>521</v>
      </c>
      <c r="P10" s="583" t="s">
        <v>522</v>
      </c>
      <c r="Q10" s="582" t="s">
        <v>523</v>
      </c>
      <c r="R10" s="582" t="s">
        <v>524</v>
      </c>
      <c r="S10" s="582" t="s">
        <v>525</v>
      </c>
      <c r="T10" s="582" t="s">
        <v>526</v>
      </c>
      <c r="U10" s="582"/>
      <c r="V10" s="582" t="s">
        <v>527</v>
      </c>
      <c r="W10" s="582"/>
      <c r="X10" s="582" t="s">
        <v>531</v>
      </c>
      <c r="Y10" s="582"/>
      <c r="AN10" s="267" t="s">
        <v>530</v>
      </c>
      <c r="AO10" s="267" t="s">
        <v>529</v>
      </c>
    </row>
    <row r="11" spans="1:41" x14ac:dyDescent="0.2">
      <c r="A11" s="583"/>
      <c r="B11" s="584"/>
      <c r="C11" s="471"/>
      <c r="D11" s="471"/>
      <c r="E11" s="275"/>
      <c r="F11" s="471"/>
      <c r="G11" s="274"/>
      <c r="H11" s="471"/>
      <c r="I11" s="471"/>
      <c r="J11" s="471"/>
      <c r="K11" s="471"/>
      <c r="L11" s="583"/>
      <c r="M11" s="583"/>
      <c r="N11" s="583"/>
      <c r="O11" s="583"/>
      <c r="P11" s="583"/>
      <c r="Q11" s="582"/>
      <c r="R11" s="582"/>
      <c r="S11" s="586"/>
      <c r="T11" s="479" t="s">
        <v>464</v>
      </c>
      <c r="U11" s="479" t="s">
        <v>465</v>
      </c>
      <c r="V11" s="479" t="s">
        <v>464</v>
      </c>
      <c r="W11" s="479" t="s">
        <v>465</v>
      </c>
      <c r="X11" s="479" t="s">
        <v>464</v>
      </c>
      <c r="Y11" s="479" t="s">
        <v>465</v>
      </c>
    </row>
    <row r="12" spans="1:41" ht="15" x14ac:dyDescent="0.2">
      <c r="A12" s="276" t="s">
        <v>953</v>
      </c>
      <c r="B12" s="261"/>
      <c r="C12" s="277"/>
      <c r="D12" s="278"/>
      <c r="E12" s="278"/>
      <c r="F12" s="278"/>
      <c r="G12" s="279"/>
      <c r="H12" s="280"/>
      <c r="I12" s="280"/>
      <c r="J12" s="280"/>
      <c r="K12" s="280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</row>
    <row r="13" spans="1:41" ht="21" x14ac:dyDescent="0.2">
      <c r="A13" s="426" t="s">
        <v>183</v>
      </c>
      <c r="B13" s="261">
        <v>59</v>
      </c>
      <c r="C13" s="277">
        <v>1</v>
      </c>
      <c r="D13" s="278"/>
      <c r="E13" s="278"/>
      <c r="F13" s="278"/>
      <c r="G13" s="279"/>
      <c r="H13" s="280"/>
      <c r="I13" s="280"/>
      <c r="J13" s="280"/>
      <c r="K13" s="280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</row>
    <row r="14" spans="1:41" x14ac:dyDescent="0.2">
      <c r="A14" s="426" t="s">
        <v>954</v>
      </c>
      <c r="B14" s="261" t="s">
        <v>837</v>
      </c>
      <c r="C14" s="282">
        <v>1</v>
      </c>
      <c r="D14" s="278"/>
      <c r="E14" s="278"/>
      <c r="F14" s="278"/>
      <c r="G14" s="279" t="s">
        <v>705</v>
      </c>
      <c r="H14" s="280"/>
      <c r="I14" s="280"/>
      <c r="J14" s="280"/>
      <c r="K14" s="280"/>
      <c r="L14" s="290">
        <v>63.524000000000001</v>
      </c>
      <c r="M14" s="290">
        <v>63.502000000000002</v>
      </c>
      <c r="N14" s="290">
        <v>63.337000000000003</v>
      </c>
      <c r="O14" s="290">
        <v>62.84</v>
      </c>
      <c r="P14" s="313">
        <v>62.37</v>
      </c>
      <c r="Q14" s="328">
        <v>62.139000000000003</v>
      </c>
      <c r="R14" s="328">
        <v>61.988999999999997</v>
      </c>
      <c r="S14" s="328">
        <v>61.896000000000001</v>
      </c>
      <c r="T14" s="328">
        <v>61.738</v>
      </c>
      <c r="U14" s="428">
        <f>T14*1.001</f>
        <v>61.799737999999991</v>
      </c>
      <c r="V14" s="328">
        <v>61.603999999999999</v>
      </c>
      <c r="W14" s="428">
        <f>V14*1.001</f>
        <v>61.665603999999995</v>
      </c>
      <c r="X14" s="328">
        <v>61.475999999999999</v>
      </c>
      <c r="Y14" s="428">
        <f>X14*1.002</f>
        <v>61.598951999999997</v>
      </c>
      <c r="AN14" s="316">
        <f t="shared" ref="AN14:AN90" si="0">Q14-P14</f>
        <v>-0.23099999999999454</v>
      </c>
      <c r="AO14" s="323">
        <f t="shared" ref="AO14:AO90" si="1">Q14/P14-100%</f>
        <v>-3.7037037037036535E-3</v>
      </c>
    </row>
    <row r="15" spans="1:41" x14ac:dyDescent="0.2">
      <c r="A15" s="260" t="s">
        <v>955</v>
      </c>
      <c r="B15" s="261" t="s">
        <v>837</v>
      </c>
      <c r="C15" s="282">
        <v>1</v>
      </c>
      <c r="D15" s="278"/>
      <c r="E15" s="278"/>
      <c r="F15" s="278"/>
      <c r="G15" s="279" t="s">
        <v>705</v>
      </c>
      <c r="H15" s="280"/>
      <c r="I15" s="280"/>
      <c r="J15" s="280"/>
      <c r="K15" s="280"/>
      <c r="L15" s="290">
        <f t="shared" ref="L15:X15" si="2">L14</f>
        <v>63.524000000000001</v>
      </c>
      <c r="M15" s="290">
        <f t="shared" si="2"/>
        <v>63.502000000000002</v>
      </c>
      <c r="N15" s="290">
        <f t="shared" si="2"/>
        <v>63.337000000000003</v>
      </c>
      <c r="O15" s="290">
        <f t="shared" si="2"/>
        <v>62.84</v>
      </c>
      <c r="P15" s="313">
        <f t="shared" si="2"/>
        <v>62.37</v>
      </c>
      <c r="Q15" s="313">
        <f t="shared" si="2"/>
        <v>62.139000000000003</v>
      </c>
      <c r="R15" s="313">
        <f t="shared" si="2"/>
        <v>61.988999999999997</v>
      </c>
      <c r="S15" s="313">
        <f t="shared" si="2"/>
        <v>61.896000000000001</v>
      </c>
      <c r="T15" s="313">
        <f t="shared" si="2"/>
        <v>61.738</v>
      </c>
      <c r="U15" s="428">
        <f>T15*1.001</f>
        <v>61.799737999999991</v>
      </c>
      <c r="V15" s="313">
        <f t="shared" si="2"/>
        <v>61.603999999999999</v>
      </c>
      <c r="W15" s="428">
        <f>V15*0.998</f>
        <v>61.480792000000001</v>
      </c>
      <c r="X15" s="313">
        <f t="shared" si="2"/>
        <v>61.475999999999999</v>
      </c>
      <c r="Y15" s="428">
        <f>X15*0.998</f>
        <v>61.353048000000001</v>
      </c>
      <c r="AN15" s="316">
        <f t="shared" si="0"/>
        <v>-0.23099999999999454</v>
      </c>
      <c r="AO15" s="323">
        <f t="shared" si="1"/>
        <v>-3.7037037037036535E-3</v>
      </c>
    </row>
    <row r="16" spans="1:41" x14ac:dyDescent="0.2">
      <c r="A16" s="260" t="s">
        <v>956</v>
      </c>
      <c r="B16" s="261" t="s">
        <v>837</v>
      </c>
      <c r="C16" s="282">
        <v>1</v>
      </c>
      <c r="D16" s="278"/>
      <c r="E16" s="278"/>
      <c r="F16" s="278"/>
      <c r="G16" s="279" t="s">
        <v>705</v>
      </c>
      <c r="H16" s="280"/>
      <c r="I16" s="280"/>
      <c r="J16" s="280"/>
      <c r="K16" s="280"/>
      <c r="L16" s="281"/>
      <c r="M16" s="281"/>
      <c r="N16" s="281"/>
      <c r="O16" s="281"/>
      <c r="P16" s="313"/>
      <c r="Q16" s="313"/>
      <c r="R16" s="313"/>
      <c r="S16" s="313"/>
      <c r="T16" s="313"/>
      <c r="U16" s="428"/>
      <c r="V16" s="313"/>
      <c r="W16" s="313"/>
      <c r="X16" s="313"/>
      <c r="Y16" s="313"/>
      <c r="AN16" s="316">
        <f t="shared" si="0"/>
        <v>0</v>
      </c>
      <c r="AO16" s="323" t="e">
        <f t="shared" si="1"/>
        <v>#DIV/0!</v>
      </c>
    </row>
    <row r="17" spans="1:56" ht="21" x14ac:dyDescent="0.2">
      <c r="A17" s="260" t="s">
        <v>664</v>
      </c>
      <c r="B17" s="261" t="s">
        <v>665</v>
      </c>
      <c r="C17" s="282">
        <v>1</v>
      </c>
      <c r="D17" s="278"/>
      <c r="E17" s="278"/>
      <c r="F17" s="278"/>
      <c r="G17" s="279" t="s">
        <v>705</v>
      </c>
      <c r="H17" s="280"/>
      <c r="I17" s="280"/>
      <c r="J17" s="280"/>
      <c r="K17" s="280"/>
      <c r="L17" s="290">
        <v>63.5</v>
      </c>
      <c r="M17" s="290">
        <v>63.5</v>
      </c>
      <c r="N17" s="290">
        <v>63.5</v>
      </c>
      <c r="O17" s="290">
        <v>63.5</v>
      </c>
      <c r="P17" s="313">
        <v>63.5</v>
      </c>
      <c r="Q17" s="328">
        <v>63.5</v>
      </c>
      <c r="R17" s="328">
        <v>63.5</v>
      </c>
      <c r="S17" s="328">
        <v>63.5</v>
      </c>
      <c r="T17" s="328">
        <v>63.5</v>
      </c>
      <c r="U17" s="428">
        <f>T17*1.001</f>
        <v>63.563499999999991</v>
      </c>
      <c r="V17" s="328">
        <v>63.5</v>
      </c>
      <c r="W17" s="428">
        <f>V17*1.001</f>
        <v>63.563499999999991</v>
      </c>
      <c r="X17" s="328">
        <v>63.5</v>
      </c>
      <c r="Y17" s="428">
        <f>X17*1.001</f>
        <v>63.563499999999991</v>
      </c>
      <c r="AN17" s="316">
        <f t="shared" si="0"/>
        <v>0</v>
      </c>
      <c r="AO17" s="323">
        <f t="shared" si="1"/>
        <v>0</v>
      </c>
    </row>
    <row r="18" spans="1:56" s="288" customFormat="1" ht="18" x14ac:dyDescent="0.2">
      <c r="A18" s="263" t="s">
        <v>899</v>
      </c>
      <c r="B18" s="283" t="s">
        <v>301</v>
      </c>
      <c r="C18" s="284">
        <v>1</v>
      </c>
      <c r="D18" s="285"/>
      <c r="E18" s="285"/>
      <c r="F18" s="285"/>
      <c r="G18" s="286" t="s">
        <v>705</v>
      </c>
      <c r="H18" s="287"/>
      <c r="I18" s="287"/>
      <c r="J18" s="287"/>
      <c r="K18" s="287"/>
      <c r="L18" s="320">
        <v>11.72</v>
      </c>
      <c r="M18" s="320">
        <v>12.39</v>
      </c>
      <c r="N18" s="320">
        <v>12.23</v>
      </c>
      <c r="O18" s="320">
        <v>11.96</v>
      </c>
      <c r="P18" s="324">
        <v>13.14</v>
      </c>
      <c r="Q18" s="329">
        <v>13.55</v>
      </c>
      <c r="R18" s="329">
        <v>12.35</v>
      </c>
      <c r="S18" s="329">
        <v>13.07</v>
      </c>
      <c r="T18" s="329">
        <v>13.06</v>
      </c>
      <c r="U18" s="480">
        <f>T18*1.001</f>
        <v>13.07306</v>
      </c>
      <c r="V18" s="329">
        <v>12.88</v>
      </c>
      <c r="W18" s="480">
        <f>V18*1.001</f>
        <v>12.89288</v>
      </c>
      <c r="X18" s="329">
        <v>13.06</v>
      </c>
      <c r="Y18" s="480">
        <f>X18*1.001</f>
        <v>13.07306</v>
      </c>
      <c r="Z18" s="481"/>
      <c r="AA18" s="481"/>
      <c r="AB18" s="481"/>
      <c r="AC18" s="481"/>
      <c r="AD18" s="481"/>
      <c r="AE18" s="481"/>
      <c r="AF18" s="481"/>
      <c r="AG18" s="481"/>
      <c r="AH18" s="481"/>
      <c r="AI18" s="481"/>
      <c r="AJ18" s="481"/>
      <c r="AK18" s="481"/>
      <c r="AL18" s="481"/>
      <c r="AM18" s="481"/>
      <c r="AN18" s="330">
        <f t="shared" si="0"/>
        <v>0.41000000000000014</v>
      </c>
      <c r="AO18" s="331">
        <f t="shared" si="1"/>
        <v>3.1202435312024379E-2</v>
      </c>
    </row>
    <row r="19" spans="1:56" s="288" customFormat="1" ht="18" x14ac:dyDescent="0.2">
      <c r="A19" s="263" t="s">
        <v>900</v>
      </c>
      <c r="B19" s="283" t="s">
        <v>100</v>
      </c>
      <c r="C19" s="284">
        <v>1</v>
      </c>
      <c r="D19" s="285"/>
      <c r="E19" s="285"/>
      <c r="F19" s="285"/>
      <c r="G19" s="286" t="s">
        <v>705</v>
      </c>
      <c r="H19" s="287"/>
      <c r="I19" s="287"/>
      <c r="J19" s="287"/>
      <c r="K19" s="287"/>
      <c r="L19" s="320">
        <v>11.45</v>
      </c>
      <c r="M19" s="320">
        <v>12.59</v>
      </c>
      <c r="N19" s="320">
        <v>12.26</v>
      </c>
      <c r="O19" s="320">
        <v>11.93</v>
      </c>
      <c r="P19" s="324">
        <v>10.98</v>
      </c>
      <c r="Q19" s="329">
        <v>11.71</v>
      </c>
      <c r="R19" s="329">
        <v>11.89</v>
      </c>
      <c r="S19" s="329">
        <v>11.57</v>
      </c>
      <c r="T19" s="329">
        <v>11.78</v>
      </c>
      <c r="U19" s="480">
        <f>T19*0.998</f>
        <v>11.75644</v>
      </c>
      <c r="V19" s="329">
        <v>11.79</v>
      </c>
      <c r="W19" s="480">
        <f>V19*0.998</f>
        <v>11.766419999999998</v>
      </c>
      <c r="X19" s="329">
        <v>11.76</v>
      </c>
      <c r="Y19" s="480">
        <f>X19*0.998</f>
        <v>11.73648</v>
      </c>
      <c r="Z19" s="481"/>
      <c r="AA19" s="481"/>
      <c r="AB19" s="481"/>
      <c r="AC19" s="481"/>
      <c r="AD19" s="481"/>
      <c r="AE19" s="481"/>
      <c r="AF19" s="481"/>
      <c r="AG19" s="481"/>
      <c r="AH19" s="481"/>
      <c r="AI19" s="481"/>
      <c r="AJ19" s="481"/>
      <c r="AK19" s="481"/>
      <c r="AL19" s="481"/>
      <c r="AM19" s="481"/>
      <c r="AN19" s="330">
        <f t="shared" si="0"/>
        <v>0.73000000000000043</v>
      </c>
      <c r="AO19" s="331">
        <f t="shared" si="1"/>
        <v>6.6484517304189472E-2</v>
      </c>
    </row>
    <row r="20" spans="1:56" s="288" customFormat="1" ht="21" x14ac:dyDescent="0.2">
      <c r="A20" s="263" t="s">
        <v>101</v>
      </c>
      <c r="B20" s="283" t="s">
        <v>343</v>
      </c>
      <c r="C20" s="284">
        <v>1</v>
      </c>
      <c r="D20" s="285"/>
      <c r="E20" s="285"/>
      <c r="F20" s="285"/>
      <c r="G20" s="286" t="s">
        <v>705</v>
      </c>
      <c r="H20" s="287"/>
      <c r="I20" s="287"/>
      <c r="J20" s="287"/>
      <c r="K20" s="287"/>
      <c r="L20" s="320">
        <v>0.27</v>
      </c>
      <c r="M20" s="319">
        <v>-0.2</v>
      </c>
      <c r="N20" s="319">
        <v>-0.03</v>
      </c>
      <c r="O20" s="319">
        <v>0.03</v>
      </c>
      <c r="P20" s="324">
        <v>2.16</v>
      </c>
      <c r="Q20" s="329">
        <v>1.85</v>
      </c>
      <c r="R20" s="329">
        <v>0.47</v>
      </c>
      <c r="S20" s="329">
        <v>1.5</v>
      </c>
      <c r="T20" s="329">
        <v>1.28</v>
      </c>
      <c r="U20" s="480">
        <f>T20*1.001</f>
        <v>1.28128</v>
      </c>
      <c r="V20" s="329">
        <v>1.0900000000000001</v>
      </c>
      <c r="W20" s="480">
        <f>V20*1.001</f>
        <v>1.0910899999999999</v>
      </c>
      <c r="X20" s="329">
        <v>1.3</v>
      </c>
      <c r="Y20" s="480">
        <f>X20*1.001</f>
        <v>1.3012999999999999</v>
      </c>
      <c r="Z20" s="481"/>
      <c r="AA20" s="481"/>
      <c r="AB20" s="481"/>
      <c r="AC20" s="481"/>
      <c r="AD20" s="481"/>
      <c r="AE20" s="481"/>
      <c r="AF20" s="481"/>
      <c r="AG20" s="481"/>
      <c r="AH20" s="481"/>
      <c r="AI20" s="481"/>
      <c r="AJ20" s="481"/>
      <c r="AK20" s="481"/>
      <c r="AL20" s="481"/>
      <c r="AM20" s="481"/>
      <c r="AN20" s="330">
        <f t="shared" si="0"/>
        <v>-0.31000000000000005</v>
      </c>
      <c r="AO20" s="331">
        <f t="shared" si="1"/>
        <v>-0.14351851851851849</v>
      </c>
    </row>
    <row r="21" spans="1:56" s="288" customFormat="1" x14ac:dyDescent="0.2">
      <c r="A21" s="263" t="s">
        <v>957</v>
      </c>
      <c r="B21" s="261" t="s">
        <v>837</v>
      </c>
      <c r="C21" s="284"/>
      <c r="D21" s="285"/>
      <c r="E21" s="285"/>
      <c r="F21" s="285"/>
      <c r="G21" s="286"/>
      <c r="H21" s="287"/>
      <c r="I21" s="287"/>
      <c r="J21" s="287"/>
      <c r="K21" s="287"/>
      <c r="L21" s="320"/>
      <c r="M21" s="319"/>
      <c r="N21" s="319"/>
      <c r="O21" s="319"/>
      <c r="P21" s="324"/>
      <c r="Q21" s="329"/>
      <c r="R21" s="329"/>
      <c r="S21" s="329"/>
      <c r="T21" s="329"/>
      <c r="U21" s="480"/>
      <c r="V21" s="329"/>
      <c r="W21" s="480"/>
      <c r="X21" s="329"/>
      <c r="Y21" s="480"/>
      <c r="Z21" s="481"/>
      <c r="AA21" s="481"/>
      <c r="AB21" s="481"/>
      <c r="AC21" s="481"/>
      <c r="AD21" s="481"/>
      <c r="AE21" s="481"/>
      <c r="AF21" s="481"/>
      <c r="AG21" s="481"/>
      <c r="AH21" s="481"/>
      <c r="AI21" s="481"/>
      <c r="AJ21" s="481"/>
      <c r="AK21" s="481"/>
      <c r="AL21" s="481"/>
      <c r="AM21" s="481"/>
      <c r="AN21" s="330"/>
      <c r="AO21" s="331"/>
    </row>
    <row r="22" spans="1:56" s="288" customFormat="1" x14ac:dyDescent="0.2">
      <c r="A22" s="263" t="s">
        <v>958</v>
      </c>
      <c r="B22" s="261" t="s">
        <v>837</v>
      </c>
      <c r="C22" s="284"/>
      <c r="D22" s="285"/>
      <c r="E22" s="285"/>
      <c r="F22" s="285"/>
      <c r="G22" s="286"/>
      <c r="H22" s="287"/>
      <c r="I22" s="287"/>
      <c r="J22" s="287"/>
      <c r="K22" s="287"/>
      <c r="L22" s="320"/>
      <c r="M22" s="319"/>
      <c r="N22" s="319"/>
      <c r="O22" s="319"/>
      <c r="P22" s="324"/>
      <c r="Q22" s="329"/>
      <c r="R22" s="329"/>
      <c r="S22" s="329"/>
      <c r="T22" s="329"/>
      <c r="U22" s="480"/>
      <c r="V22" s="329"/>
      <c r="W22" s="480"/>
      <c r="X22" s="329"/>
      <c r="Y22" s="480"/>
      <c r="Z22" s="481"/>
      <c r="AA22" s="481"/>
      <c r="AB22" s="481"/>
      <c r="AC22" s="481"/>
      <c r="AD22" s="481"/>
      <c r="AE22" s="481"/>
      <c r="AF22" s="481"/>
      <c r="AG22" s="481"/>
      <c r="AH22" s="481"/>
      <c r="AI22" s="481"/>
      <c r="AJ22" s="481"/>
      <c r="AK22" s="481"/>
      <c r="AL22" s="481"/>
      <c r="AM22" s="481"/>
      <c r="AN22" s="330"/>
      <c r="AO22" s="331"/>
    </row>
    <row r="23" spans="1:56" s="288" customFormat="1" x14ac:dyDescent="0.2">
      <c r="A23" s="263" t="s">
        <v>901</v>
      </c>
      <c r="B23" s="283" t="s">
        <v>344</v>
      </c>
      <c r="C23" s="284">
        <v>1</v>
      </c>
      <c r="D23" s="285"/>
      <c r="E23" s="285"/>
      <c r="F23" s="285"/>
      <c r="G23" s="286" t="s">
        <v>705</v>
      </c>
      <c r="H23" s="287"/>
      <c r="I23" s="287"/>
      <c r="J23" s="287"/>
      <c r="K23" s="287"/>
      <c r="L23" s="320">
        <v>3.46</v>
      </c>
      <c r="M23" s="320">
        <v>-10.86</v>
      </c>
      <c r="N23" s="320">
        <v>-38.92</v>
      </c>
      <c r="O23" s="320">
        <v>-118.17</v>
      </c>
      <c r="P23" s="324">
        <v>-51.55</v>
      </c>
      <c r="Q23" s="329">
        <v>-62.78</v>
      </c>
      <c r="R23" s="329">
        <v>-8.5500000000000007</v>
      </c>
      <c r="S23" s="329">
        <v>-41.14</v>
      </c>
      <c r="T23" s="329">
        <v>-37.69</v>
      </c>
      <c r="U23" s="480">
        <f>T23*0.998</f>
        <v>-37.614619999999995</v>
      </c>
      <c r="V23" s="329">
        <v>-29.35</v>
      </c>
      <c r="W23" s="480">
        <f>V23*0.998</f>
        <v>-29.2913</v>
      </c>
      <c r="X23" s="329">
        <v>-36.229999999999997</v>
      </c>
      <c r="Y23" s="480">
        <f>X23*0.998</f>
        <v>-36.157539999999997</v>
      </c>
      <c r="Z23" s="481"/>
      <c r="AA23" s="481"/>
      <c r="AB23" s="481"/>
      <c r="AC23" s="481"/>
      <c r="AD23" s="481"/>
      <c r="AE23" s="481"/>
      <c r="AF23" s="481"/>
      <c r="AG23" s="481"/>
      <c r="AH23" s="481"/>
      <c r="AI23" s="481"/>
      <c r="AJ23" s="481"/>
      <c r="AK23" s="481"/>
      <c r="AL23" s="481"/>
      <c r="AM23" s="481"/>
      <c r="AN23" s="330">
        <f t="shared" si="0"/>
        <v>-11.230000000000004</v>
      </c>
      <c r="AO23" s="331">
        <f t="shared" si="1"/>
        <v>0.21784675072744908</v>
      </c>
    </row>
    <row r="24" spans="1:56" ht="30" x14ac:dyDescent="0.2">
      <c r="A24" s="276" t="s">
        <v>902</v>
      </c>
      <c r="B24" s="261"/>
      <c r="C24" s="282"/>
      <c r="D24" s="278"/>
      <c r="E24" s="278"/>
      <c r="F24" s="278"/>
      <c r="G24" s="279"/>
      <c r="H24" s="280"/>
      <c r="I24" s="280"/>
      <c r="J24" s="280"/>
      <c r="K24" s="280"/>
      <c r="L24" s="281"/>
      <c r="M24" s="281"/>
      <c r="N24" s="281"/>
      <c r="O24" s="281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AN24" s="316">
        <f t="shared" si="0"/>
        <v>0</v>
      </c>
      <c r="AO24" s="323" t="e">
        <f t="shared" si="1"/>
        <v>#DIV/0!</v>
      </c>
    </row>
    <row r="25" spans="1:56" ht="14.25" hidden="1" x14ac:dyDescent="0.2">
      <c r="A25" s="292" t="s">
        <v>903</v>
      </c>
      <c r="B25" s="261"/>
      <c r="C25" s="282"/>
      <c r="D25" s="278"/>
      <c r="E25" s="278"/>
      <c r="F25" s="278"/>
      <c r="G25" s="279"/>
      <c r="H25" s="280"/>
      <c r="I25" s="280"/>
      <c r="J25" s="280"/>
      <c r="K25" s="280"/>
      <c r="L25" s="281"/>
      <c r="M25" s="281"/>
      <c r="N25" s="281"/>
      <c r="O25" s="281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AN25" s="316">
        <f t="shared" si="0"/>
        <v>0</v>
      </c>
      <c r="AO25" s="323" t="e">
        <f t="shared" si="1"/>
        <v>#DIV/0!</v>
      </c>
    </row>
    <row r="26" spans="1:56" ht="18" hidden="1" x14ac:dyDescent="0.2">
      <c r="A26" s="260" t="s">
        <v>327</v>
      </c>
      <c r="B26" s="261" t="s">
        <v>904</v>
      </c>
      <c r="C26" s="282">
        <v>1</v>
      </c>
      <c r="D26" s="278"/>
      <c r="E26" s="278"/>
      <c r="F26" s="278"/>
      <c r="G26" s="279" t="s">
        <v>705</v>
      </c>
      <c r="H26" s="280"/>
      <c r="I26" s="280"/>
      <c r="J26" s="280"/>
      <c r="K26" s="280"/>
      <c r="L26" s="281"/>
      <c r="M26" s="281"/>
      <c r="N26" s="281"/>
      <c r="O26" s="281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AN26" s="316">
        <f t="shared" si="0"/>
        <v>0</v>
      </c>
      <c r="AO26" s="323" t="e">
        <f t="shared" si="1"/>
        <v>#DIV/0!</v>
      </c>
      <c r="AR26" s="267">
        <v>2008</v>
      </c>
      <c r="AS26" s="267">
        <v>2009</v>
      </c>
      <c r="AT26" s="267">
        <v>2010</v>
      </c>
      <c r="AU26" s="267">
        <v>2011</v>
      </c>
      <c r="AV26" s="267">
        <v>2012</v>
      </c>
      <c r="AW26" s="267">
        <v>2013</v>
      </c>
      <c r="AX26" s="267">
        <v>2014</v>
      </c>
      <c r="AZ26" s="267">
        <v>2015</v>
      </c>
      <c r="BB26" s="267">
        <v>2016</v>
      </c>
      <c r="BD26" s="267">
        <v>2017</v>
      </c>
    </row>
    <row r="27" spans="1:56" ht="28.5" hidden="1" x14ac:dyDescent="0.2">
      <c r="A27" s="292" t="s">
        <v>905</v>
      </c>
      <c r="B27" s="261"/>
      <c r="C27" s="282"/>
      <c r="D27" s="293"/>
      <c r="E27" s="293"/>
      <c r="F27" s="293"/>
      <c r="G27" s="279"/>
      <c r="H27" s="280"/>
      <c r="I27" s="280"/>
      <c r="J27" s="280"/>
      <c r="K27" s="280"/>
      <c r="L27" s="291"/>
      <c r="M27" s="291"/>
      <c r="N27" s="291"/>
      <c r="O27" s="291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AN27" s="316">
        <f t="shared" si="0"/>
        <v>0</v>
      </c>
      <c r="AO27" s="323" t="e">
        <f t="shared" si="1"/>
        <v>#DIV/0!</v>
      </c>
      <c r="AR27" s="281"/>
      <c r="AS27" s="281"/>
      <c r="AT27" s="319">
        <f>AT28-N31</f>
        <v>4658.5</v>
      </c>
      <c r="AU27" s="319">
        <f>AU28-O31</f>
        <v>433.32200000000012</v>
      </c>
      <c r="AV27" s="319">
        <f>AV28-P31</f>
        <v>837.90499999999884</v>
      </c>
      <c r="AW27" s="319">
        <f>AW28-Q31</f>
        <v>-652.84666000001016</v>
      </c>
      <c r="AX27" s="319">
        <f>AX28-R31</f>
        <v>127.10259887065331</v>
      </c>
      <c r="AY27" s="319" t="e">
        <f>AY28-#REF!</f>
        <v>#REF!</v>
      </c>
      <c r="AZ27" s="319">
        <f>AZ28-S31</f>
        <v>-2981.5170988776226</v>
      </c>
      <c r="BA27" s="319" t="e">
        <f>BA28-#REF!</f>
        <v>#REF!</v>
      </c>
      <c r="BB27" s="319">
        <f>BB28-T31</f>
        <v>206.90771793265594</v>
      </c>
      <c r="BC27" s="319" t="e">
        <f>BC28-#REF!</f>
        <v>#REF!</v>
      </c>
      <c r="BD27" s="319">
        <f>BD28-V31</f>
        <v>4999.8067673624755</v>
      </c>
    </row>
    <row r="28" spans="1:56" ht="31.5" hidden="1" x14ac:dyDescent="0.2">
      <c r="A28" s="260" t="s">
        <v>102</v>
      </c>
      <c r="B28" s="261" t="s">
        <v>345</v>
      </c>
      <c r="C28" s="282">
        <v>1</v>
      </c>
      <c r="D28" s="293"/>
      <c r="E28" s="293"/>
      <c r="F28" s="293"/>
      <c r="G28" s="279" t="s">
        <v>705</v>
      </c>
      <c r="H28" s="280"/>
      <c r="I28" s="280"/>
      <c r="J28" s="280"/>
      <c r="K28" s="280"/>
      <c r="L28" s="379"/>
      <c r="M28" s="379"/>
      <c r="N28" s="379"/>
      <c r="O28" s="379"/>
      <c r="P28" s="379"/>
      <c r="Q28" s="379"/>
      <c r="R28" s="420"/>
      <c r="S28" s="420"/>
      <c r="T28" s="420"/>
      <c r="U28" s="325"/>
      <c r="V28" s="325"/>
      <c r="W28" s="325"/>
      <c r="X28" s="325"/>
      <c r="Y28" s="325"/>
      <c r="AN28" s="316" t="e">
        <f>#REF!-#REF!</f>
        <v>#REF!</v>
      </c>
      <c r="AO28" s="323" t="e">
        <f>#REF!/#REF!-100%</f>
        <v>#REF!</v>
      </c>
      <c r="AR28" s="318">
        <f t="shared" ref="AR28:AW28" si="3">SUM(AR29:AR30)</f>
        <v>40789.1</v>
      </c>
      <c r="AS28" s="318">
        <f t="shared" si="3"/>
        <v>40339.5</v>
      </c>
      <c r="AT28" s="318">
        <f t="shared" si="3"/>
        <v>45889.5</v>
      </c>
      <c r="AU28" s="318">
        <f t="shared" si="3"/>
        <v>54029.4</v>
      </c>
      <c r="AV28" s="318">
        <f t="shared" si="3"/>
        <v>63578.3</v>
      </c>
      <c r="AW28" s="318">
        <f t="shared" si="3"/>
        <v>66371.099999999991</v>
      </c>
      <c r="AX28" s="318">
        <v>69165.7</v>
      </c>
      <c r="AY28" s="318"/>
      <c r="AZ28" s="318">
        <v>73723.7</v>
      </c>
      <c r="BA28" s="318"/>
      <c r="BB28" s="318">
        <v>79808.100000000006</v>
      </c>
      <c r="BC28" s="318"/>
      <c r="BD28" s="318">
        <v>86315.4</v>
      </c>
    </row>
    <row r="29" spans="1:56" s="288" customFormat="1" ht="21" hidden="1" x14ac:dyDescent="0.2">
      <c r="A29" s="263" t="s">
        <v>180</v>
      </c>
      <c r="B29" s="283" t="s">
        <v>103</v>
      </c>
      <c r="C29" s="284">
        <v>1</v>
      </c>
      <c r="D29" s="299"/>
      <c r="E29" s="299"/>
      <c r="F29" s="299"/>
      <c r="G29" s="286" t="s">
        <v>704</v>
      </c>
      <c r="H29" s="287"/>
      <c r="I29" s="287"/>
      <c r="J29" s="287"/>
      <c r="K29" s="287"/>
      <c r="L29" s="334"/>
      <c r="M29" s="334"/>
      <c r="N29" s="334"/>
      <c r="O29" s="334"/>
      <c r="P29" s="335"/>
      <c r="Q29" s="335"/>
      <c r="R29" s="335"/>
      <c r="S29" s="335"/>
      <c r="T29" s="335"/>
      <c r="U29" s="335"/>
      <c r="V29" s="335"/>
      <c r="W29" s="335"/>
      <c r="X29" s="335"/>
      <c r="Y29" s="335"/>
      <c r="Z29" s="481"/>
      <c r="AA29" s="481"/>
      <c r="AB29" s="481"/>
      <c r="AC29" s="481"/>
      <c r="AD29" s="481"/>
      <c r="AE29" s="481"/>
      <c r="AF29" s="481"/>
      <c r="AG29" s="481"/>
      <c r="AH29" s="481"/>
      <c r="AI29" s="481"/>
      <c r="AJ29" s="481"/>
      <c r="AK29" s="481"/>
      <c r="AL29" s="481"/>
      <c r="AM29" s="481"/>
      <c r="AN29" s="330" t="e">
        <f>#REF!-P29</f>
        <v>#REF!</v>
      </c>
      <c r="AO29" s="331" t="e">
        <f>#REF!/P29-100%</f>
        <v>#REF!</v>
      </c>
      <c r="AR29" s="336">
        <v>40554.1</v>
      </c>
      <c r="AS29" s="336">
        <v>40059.699999999997</v>
      </c>
      <c r="AT29" s="336">
        <v>45419.8</v>
      </c>
      <c r="AU29" s="336">
        <v>53596.1</v>
      </c>
      <c r="AV29" s="336">
        <f>63061.5</f>
        <v>63061.5</v>
      </c>
      <c r="AW29" s="336">
        <v>65759.399999999994</v>
      </c>
      <c r="AX29" s="336">
        <f>AX28-AX30</f>
        <v>68437.8</v>
      </c>
      <c r="AY29" s="319"/>
      <c r="AZ29" s="336">
        <f>AZ28-AZ30</f>
        <v>72804.399999999994</v>
      </c>
      <c r="BA29" s="319"/>
      <c r="BB29" s="336">
        <f>BB28-BB30</f>
        <v>78705.100000000006</v>
      </c>
      <c r="BC29" s="319"/>
      <c r="BD29" s="336">
        <f>BD28-BD30</f>
        <v>85005.7</v>
      </c>
    </row>
    <row r="30" spans="1:56" s="288" customFormat="1" ht="21" hidden="1" x14ac:dyDescent="0.2">
      <c r="A30" s="263" t="s">
        <v>181</v>
      </c>
      <c r="B30" s="283" t="s">
        <v>898</v>
      </c>
      <c r="C30" s="284">
        <v>1</v>
      </c>
      <c r="D30" s="299"/>
      <c r="E30" s="299"/>
      <c r="F30" s="299"/>
      <c r="G30" s="300" t="s">
        <v>706</v>
      </c>
      <c r="H30" s="287"/>
      <c r="I30" s="287"/>
      <c r="J30" s="287"/>
      <c r="K30" s="287"/>
      <c r="L30" s="418"/>
      <c r="M30" s="418"/>
      <c r="N30" s="418"/>
      <c r="O30" s="418"/>
      <c r="P30" s="418"/>
      <c r="Q30" s="418"/>
      <c r="R30" s="418"/>
      <c r="S30" s="335"/>
      <c r="T30" s="335"/>
      <c r="U30" s="335"/>
      <c r="V30" s="335"/>
      <c r="W30" s="335"/>
      <c r="X30" s="335"/>
      <c r="Y30" s="335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330">
        <f>Q28-P28</f>
        <v>0</v>
      </c>
      <c r="AO30" s="331" t="e">
        <f>Q28/P28-100%</f>
        <v>#DIV/0!</v>
      </c>
      <c r="AR30" s="336">
        <v>235</v>
      </c>
      <c r="AS30" s="336">
        <v>279.8</v>
      </c>
      <c r="AT30" s="336">
        <v>469.7</v>
      </c>
      <c r="AU30" s="336">
        <v>433.3</v>
      </c>
      <c r="AV30" s="336">
        <v>516.79999999999995</v>
      </c>
      <c r="AW30" s="336">
        <v>611.70000000000005</v>
      </c>
      <c r="AX30" s="336">
        <v>727.9</v>
      </c>
      <c r="AY30" s="336"/>
      <c r="AZ30" s="336">
        <v>919.3</v>
      </c>
      <c r="BA30" s="336"/>
      <c r="BB30" s="336">
        <v>1103</v>
      </c>
      <c r="BC30" s="336"/>
      <c r="BD30" s="336">
        <v>1309.7</v>
      </c>
    </row>
    <row r="31" spans="1:56" s="266" customFormat="1" ht="28.5" x14ac:dyDescent="0.2">
      <c r="A31" s="292" t="s">
        <v>908</v>
      </c>
      <c r="B31" s="265" t="s">
        <v>517</v>
      </c>
      <c r="C31" s="295"/>
      <c r="D31" s="296"/>
      <c r="E31" s="296"/>
      <c r="F31" s="296"/>
      <c r="G31" s="297"/>
      <c r="H31" s="298"/>
      <c r="I31" s="298"/>
      <c r="J31" s="298"/>
      <c r="K31" s="298"/>
      <c r="L31" s="318">
        <f t="shared" ref="L31:Y31" si="4">L34+L47+L108</f>
        <v>40549</v>
      </c>
      <c r="M31" s="318">
        <f t="shared" si="4"/>
        <v>40059.700000000004</v>
      </c>
      <c r="N31" s="318">
        <f t="shared" si="4"/>
        <v>41231</v>
      </c>
      <c r="O31" s="318">
        <f t="shared" si="4"/>
        <v>53596.078000000001</v>
      </c>
      <c r="P31" s="318">
        <f t="shared" si="4"/>
        <v>62740.395000000004</v>
      </c>
      <c r="Q31" s="318">
        <f t="shared" si="4"/>
        <v>67023.946660000001</v>
      </c>
      <c r="R31" s="318">
        <f t="shared" si="4"/>
        <v>69038.597401129344</v>
      </c>
      <c r="S31" s="318">
        <f t="shared" si="4"/>
        <v>76705.21709887762</v>
      </c>
      <c r="T31" s="318">
        <f t="shared" si="4"/>
        <v>79601.19228206735</v>
      </c>
      <c r="U31" s="318">
        <f t="shared" si="4"/>
        <v>82150.092106525321</v>
      </c>
      <c r="V31" s="318">
        <f t="shared" si="4"/>
        <v>81315.593232637519</v>
      </c>
      <c r="W31" s="318">
        <f t="shared" si="4"/>
        <v>84200.755621780103</v>
      </c>
      <c r="X31" s="318">
        <f t="shared" si="4"/>
        <v>84900.507006805638</v>
      </c>
      <c r="Y31" s="318">
        <f t="shared" si="4"/>
        <v>86300.524350787833</v>
      </c>
      <c r="AN31" s="316">
        <f t="shared" si="0"/>
        <v>4283.5516599999974</v>
      </c>
      <c r="AO31" s="323">
        <f t="shared" si="1"/>
        <v>6.8274222054228284E-2</v>
      </c>
    </row>
    <row r="32" spans="1:56" s="288" customFormat="1" x14ac:dyDescent="0.2">
      <c r="A32" s="263" t="s">
        <v>346</v>
      </c>
      <c r="B32" s="283" t="s">
        <v>932</v>
      </c>
      <c r="C32" s="284">
        <v>1</v>
      </c>
      <c r="D32" s="299"/>
      <c r="E32" s="299"/>
      <c r="F32" s="299"/>
      <c r="G32" s="300" t="s">
        <v>704</v>
      </c>
      <c r="H32" s="287"/>
      <c r="I32" s="287"/>
      <c r="J32" s="287"/>
      <c r="K32" s="287"/>
      <c r="L32" s="482">
        <v>107</v>
      </c>
      <c r="M32" s="482">
        <v>105.3</v>
      </c>
      <c r="N32" s="482">
        <v>111.6</v>
      </c>
      <c r="O32" s="482">
        <v>99.7</v>
      </c>
      <c r="P32" s="329">
        <v>102.8</v>
      </c>
      <c r="Q32" s="329">
        <v>103.3</v>
      </c>
      <c r="R32" s="329">
        <v>98.1</v>
      </c>
      <c r="S32" s="480">
        <f>AVERAGE(O32,P32,Q32,R32)</f>
        <v>100.97499999999999</v>
      </c>
      <c r="T32" s="480">
        <f>AVERAGE(P32,Q32,R32,S32)</f>
        <v>101.29374999999999</v>
      </c>
      <c r="U32" s="480">
        <f>T32*1.01</f>
        <v>102.3066875</v>
      </c>
      <c r="V32" s="480">
        <f>AVERAGE(Q32,R32,S32,T32)</f>
        <v>100.9171875</v>
      </c>
      <c r="W32" s="480">
        <f>V32*1.01</f>
        <v>101.926359375</v>
      </c>
      <c r="X32" s="480">
        <f>AVERAGE(R32,S32,T32,V32)</f>
        <v>100.321484375</v>
      </c>
      <c r="Y32" s="480">
        <f>X32*1.01</f>
        <v>101.32469921875</v>
      </c>
      <c r="AN32" s="316">
        <f t="shared" si="0"/>
        <v>0.5</v>
      </c>
      <c r="AO32" s="323">
        <f t="shared" si="1"/>
        <v>4.8638132295719672E-3</v>
      </c>
    </row>
    <row r="33" spans="1:41" ht="28.5" x14ac:dyDescent="0.2">
      <c r="A33" s="292" t="s">
        <v>909</v>
      </c>
      <c r="B33" s="261"/>
      <c r="C33" s="282"/>
      <c r="D33" s="293"/>
      <c r="E33" s="293"/>
      <c r="F33" s="293"/>
      <c r="G33" s="294"/>
      <c r="H33" s="280"/>
      <c r="I33" s="280"/>
      <c r="J33" s="280"/>
      <c r="K33" s="280"/>
      <c r="L33" s="281"/>
      <c r="M33" s="281"/>
      <c r="N33" s="281"/>
      <c r="O33" s="281"/>
      <c r="P33" s="325"/>
      <c r="Q33" s="333"/>
      <c r="R33" s="333"/>
      <c r="S33" s="325"/>
      <c r="T33" s="325"/>
      <c r="U33" s="325"/>
      <c r="V33" s="325"/>
      <c r="W33" s="325"/>
      <c r="X33" s="325"/>
      <c r="Y33" s="325"/>
      <c r="AN33" s="316">
        <f t="shared" si="0"/>
        <v>0</v>
      </c>
      <c r="AO33" s="323" t="e">
        <f t="shared" si="1"/>
        <v>#DIV/0!</v>
      </c>
    </row>
    <row r="34" spans="1:41" s="266" customFormat="1" ht="52.5" x14ac:dyDescent="0.2">
      <c r="A34" s="264" t="s">
        <v>910</v>
      </c>
      <c r="B34" s="265" t="s">
        <v>345</v>
      </c>
      <c r="C34" s="295">
        <v>1</v>
      </c>
      <c r="D34" s="296"/>
      <c r="E34" s="296"/>
      <c r="F34" s="296"/>
      <c r="G34" s="297" t="s">
        <v>705</v>
      </c>
      <c r="H34" s="298"/>
      <c r="I34" s="298"/>
      <c r="J34" s="298"/>
      <c r="K34" s="298"/>
      <c r="L34" s="483">
        <f>L42</f>
        <v>13.1</v>
      </c>
      <c r="M34" s="483">
        <f t="shared" ref="M34:T34" si="5">M42</f>
        <v>14.7</v>
      </c>
      <c r="N34" s="483">
        <f t="shared" si="5"/>
        <v>10.8</v>
      </c>
      <c r="O34" s="483">
        <f t="shared" si="5"/>
        <v>6.5</v>
      </c>
      <c r="P34" s="322">
        <f t="shared" si="5"/>
        <v>3.4</v>
      </c>
      <c r="Q34" s="322">
        <f t="shared" si="5"/>
        <v>6.5</v>
      </c>
      <c r="R34" s="322">
        <f t="shared" si="5"/>
        <v>3.22</v>
      </c>
      <c r="S34" s="322">
        <f t="shared" si="5"/>
        <v>3.4866417058033066</v>
      </c>
      <c r="T34" s="322">
        <f t="shared" si="5"/>
        <v>4.0156387517679883</v>
      </c>
      <c r="U34" s="322">
        <f>U42</f>
        <v>4.2231648043425629</v>
      </c>
      <c r="V34" s="322">
        <f>V42</f>
        <v>3.4683820999774078</v>
      </c>
      <c r="W34" s="322">
        <f>W42</f>
        <v>3.6769558265724429</v>
      </c>
      <c r="X34" s="322">
        <f>X42</f>
        <v>3.4401737542707513</v>
      </c>
      <c r="Y34" s="322">
        <f>Y42</f>
        <v>3.6692582679862285</v>
      </c>
      <c r="Z34" s="484"/>
      <c r="AA34" s="484"/>
      <c r="AB34" s="484"/>
      <c r="AC34" s="484"/>
      <c r="AD34" s="484"/>
      <c r="AE34" s="484"/>
      <c r="AF34" s="484"/>
      <c r="AG34" s="484"/>
      <c r="AH34" s="484"/>
      <c r="AI34" s="484"/>
      <c r="AJ34" s="484"/>
      <c r="AK34" s="484"/>
      <c r="AL34" s="484"/>
      <c r="AM34" s="484"/>
      <c r="AN34" s="383">
        <f t="shared" si="0"/>
        <v>3.1</v>
      </c>
      <c r="AO34" s="384">
        <f t="shared" si="1"/>
        <v>0.91176470588235303</v>
      </c>
    </row>
    <row r="35" spans="1:41" s="266" customFormat="1" ht="18" x14ac:dyDescent="0.2">
      <c r="A35" s="347" t="s">
        <v>959</v>
      </c>
      <c r="B35" s="283" t="s">
        <v>960</v>
      </c>
      <c r="C35" s="295"/>
      <c r="D35" s="296"/>
      <c r="E35" s="296"/>
      <c r="F35" s="296"/>
      <c r="G35" s="297"/>
      <c r="H35" s="298"/>
      <c r="I35" s="298"/>
      <c r="J35" s="298"/>
      <c r="K35" s="298"/>
      <c r="L35" s="483"/>
      <c r="M35" s="483"/>
      <c r="N35" s="485">
        <f t="shared" ref="N35:T35" si="6">N34/M34-M34/L34</f>
        <v>-0.38744352702913221</v>
      </c>
      <c r="O35" s="485">
        <f t="shared" si="6"/>
        <v>-0.13284202569916859</v>
      </c>
      <c r="P35" s="485">
        <f t="shared" si="6"/>
        <v>-7.8774928774928754E-2</v>
      </c>
      <c r="Q35" s="485">
        <f t="shared" si="6"/>
        <v>1.3886877828054298</v>
      </c>
      <c r="R35" s="485">
        <f t="shared" si="6"/>
        <v>-1.4163800904977375</v>
      </c>
      <c r="S35" s="485">
        <f t="shared" si="6"/>
        <v>0.5874233677841133</v>
      </c>
      <c r="T35" s="485">
        <f t="shared" si="6"/>
        <v>6.891309705703641E-2</v>
      </c>
      <c r="U35" s="485">
        <f>U34/S34-S34/R34</f>
        <v>0.1284334235159208</v>
      </c>
      <c r="V35" s="485">
        <f>V34/T34-T34/S34</f>
        <v>-0.28800242564052303</v>
      </c>
      <c r="W35" s="485">
        <f>W34/U34-U34/S34</f>
        <v>-0.34057781742771798</v>
      </c>
      <c r="X35" s="485">
        <f>X34/V34-V34/T34</f>
        <v>0.12814834711943157</v>
      </c>
      <c r="Y35" s="485">
        <f>Y34/W34-W34/U34</f>
        <v>0.12724295111252681</v>
      </c>
      <c r="Z35" s="484"/>
      <c r="AA35" s="484"/>
      <c r="AB35" s="484"/>
      <c r="AC35" s="484"/>
      <c r="AD35" s="484"/>
      <c r="AE35" s="484"/>
      <c r="AF35" s="484"/>
      <c r="AG35" s="484"/>
      <c r="AH35" s="484"/>
      <c r="AI35" s="484"/>
      <c r="AJ35" s="484"/>
      <c r="AK35" s="484"/>
      <c r="AL35" s="484"/>
      <c r="AM35" s="484"/>
      <c r="AN35" s="383"/>
      <c r="AO35" s="384"/>
    </row>
    <row r="36" spans="1:41" s="356" customFormat="1" ht="18" x14ac:dyDescent="0.2">
      <c r="A36" s="347" t="s">
        <v>911</v>
      </c>
      <c r="B36" s="283" t="s">
        <v>898</v>
      </c>
      <c r="C36" s="348">
        <v>1</v>
      </c>
      <c r="D36" s="349"/>
      <c r="E36" s="349"/>
      <c r="F36" s="349"/>
      <c r="G36" s="350" t="s">
        <v>704</v>
      </c>
      <c r="H36" s="351"/>
      <c r="I36" s="351"/>
      <c r="J36" s="351"/>
      <c r="K36" s="351"/>
      <c r="L36" s="385">
        <f>L44</f>
        <v>85.5</v>
      </c>
      <c r="M36" s="385">
        <f t="shared" ref="M36:Q37" si="7">M44</f>
        <v>107.69072980615668</v>
      </c>
      <c r="N36" s="385">
        <f t="shared" si="7"/>
        <v>70.508049669003881</v>
      </c>
      <c r="O36" s="385">
        <f t="shared" si="7"/>
        <v>63.890854761343085</v>
      </c>
      <c r="P36" s="353">
        <f t="shared" si="7"/>
        <v>43.408873284391959</v>
      </c>
      <c r="Q36" s="353">
        <f t="shared" si="7"/>
        <v>190.79488082658213</v>
      </c>
      <c r="R36" s="353">
        <f t="shared" ref="R36:T37" si="8">R44</f>
        <v>47.045072686098329</v>
      </c>
      <c r="S36" s="353">
        <f t="shared" si="8"/>
        <v>93.749608932357475</v>
      </c>
      <c r="T36" s="353">
        <f t="shared" si="8"/>
        <v>110.52985414834598</v>
      </c>
      <c r="U36" s="353">
        <f t="shared" ref="U36:Y37" si="9">U44</f>
        <v>111.63515268982944</v>
      </c>
      <c r="V36" s="353">
        <f t="shared" si="9"/>
        <v>83.774845255600596</v>
      </c>
      <c r="W36" s="353">
        <f t="shared" si="9"/>
        <v>84.612593708156609</v>
      </c>
      <c r="X36" s="353">
        <f t="shared" si="9"/>
        <v>96.018102778768025</v>
      </c>
      <c r="Y36" s="353">
        <f t="shared" si="9"/>
        <v>96.978283806555709</v>
      </c>
      <c r="AN36" s="362">
        <f t="shared" si="0"/>
        <v>147.38600754219016</v>
      </c>
      <c r="AO36" s="363">
        <f t="shared" si="1"/>
        <v>3.3952967766888369</v>
      </c>
    </row>
    <row r="37" spans="1:41" s="356" customFormat="1" ht="18" x14ac:dyDescent="0.2">
      <c r="A37" s="347" t="s">
        <v>912</v>
      </c>
      <c r="B37" s="283" t="s">
        <v>898</v>
      </c>
      <c r="C37" s="348">
        <v>1</v>
      </c>
      <c r="D37" s="349"/>
      <c r="E37" s="349"/>
      <c r="F37" s="349"/>
      <c r="G37" s="350" t="s">
        <v>706</v>
      </c>
      <c r="H37" s="351"/>
      <c r="I37" s="351"/>
      <c r="J37" s="351"/>
      <c r="K37" s="351"/>
      <c r="L37" s="385">
        <f>L45</f>
        <v>104.2</v>
      </c>
      <c r="M37" s="385">
        <f t="shared" si="7"/>
        <v>104.2</v>
      </c>
      <c r="N37" s="385">
        <f t="shared" si="7"/>
        <v>104.2</v>
      </c>
      <c r="O37" s="385">
        <f t="shared" si="7"/>
        <v>94.2</v>
      </c>
      <c r="P37" s="353">
        <f t="shared" si="7"/>
        <v>120.5</v>
      </c>
      <c r="Q37" s="353">
        <f t="shared" si="7"/>
        <v>100.2</v>
      </c>
      <c r="R37" s="353">
        <f t="shared" si="8"/>
        <v>105.3</v>
      </c>
      <c r="S37" s="353">
        <f t="shared" si="8"/>
        <v>115.5</v>
      </c>
      <c r="T37" s="353">
        <f t="shared" si="8"/>
        <v>104.2</v>
      </c>
      <c r="U37" s="353">
        <f t="shared" si="9"/>
        <v>108.5</v>
      </c>
      <c r="V37" s="353">
        <f t="shared" si="9"/>
        <v>103.1</v>
      </c>
      <c r="W37" s="353">
        <f t="shared" si="9"/>
        <v>102.9</v>
      </c>
      <c r="X37" s="353">
        <f t="shared" si="9"/>
        <v>103.3</v>
      </c>
      <c r="Y37" s="353">
        <f t="shared" si="9"/>
        <v>102.9</v>
      </c>
      <c r="AN37" s="362">
        <f t="shared" si="0"/>
        <v>-20.299999999999997</v>
      </c>
      <c r="AO37" s="363">
        <f t="shared" si="1"/>
        <v>-0.16846473029045639</v>
      </c>
    </row>
    <row r="38" spans="1:41" ht="52.5" hidden="1" x14ac:dyDescent="0.2">
      <c r="A38" s="260" t="s">
        <v>913</v>
      </c>
      <c r="B38" s="261" t="s">
        <v>345</v>
      </c>
      <c r="C38" s="282">
        <v>1</v>
      </c>
      <c r="D38" s="293"/>
      <c r="E38" s="293"/>
      <c r="F38" s="293"/>
      <c r="G38" s="294" t="s">
        <v>705</v>
      </c>
      <c r="H38" s="280"/>
      <c r="I38" s="280"/>
      <c r="J38" s="280"/>
      <c r="K38" s="280"/>
      <c r="L38" s="281"/>
      <c r="M38" s="281"/>
      <c r="N38" s="281"/>
      <c r="O38" s="289"/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AN38" s="316">
        <f t="shared" si="0"/>
        <v>0</v>
      </c>
      <c r="AO38" s="323" t="e">
        <f t="shared" si="1"/>
        <v>#DIV/0!</v>
      </c>
    </row>
    <row r="39" spans="1:41" ht="18" hidden="1" x14ac:dyDescent="0.2">
      <c r="A39" s="347" t="s">
        <v>961</v>
      </c>
      <c r="B39" s="283" t="s">
        <v>962</v>
      </c>
      <c r="C39" s="282"/>
      <c r="D39" s="293"/>
      <c r="E39" s="293"/>
      <c r="F39" s="293"/>
      <c r="G39" s="294"/>
      <c r="H39" s="280"/>
      <c r="I39" s="280"/>
      <c r="J39" s="280"/>
      <c r="K39" s="280"/>
      <c r="L39" s="281"/>
      <c r="M39" s="281"/>
      <c r="N39" s="281"/>
      <c r="O39" s="289"/>
      <c r="P39" s="325"/>
      <c r="Q39" s="325"/>
      <c r="R39" s="325"/>
      <c r="S39" s="325"/>
      <c r="T39" s="325"/>
      <c r="U39" s="325"/>
      <c r="V39" s="325"/>
      <c r="W39" s="325"/>
      <c r="X39" s="325"/>
      <c r="Y39" s="325"/>
      <c r="AN39" s="316"/>
      <c r="AO39" s="323"/>
    </row>
    <row r="40" spans="1:41" s="356" customFormat="1" ht="18" hidden="1" x14ac:dyDescent="0.2">
      <c r="A40" s="347" t="s">
        <v>914</v>
      </c>
      <c r="B40" s="283" t="s">
        <v>898</v>
      </c>
      <c r="C40" s="348">
        <v>1</v>
      </c>
      <c r="D40" s="349"/>
      <c r="E40" s="349"/>
      <c r="F40" s="349"/>
      <c r="G40" s="350" t="s">
        <v>704</v>
      </c>
      <c r="H40" s="351"/>
      <c r="I40" s="351"/>
      <c r="J40" s="351"/>
      <c r="K40" s="351"/>
      <c r="L40" s="352"/>
      <c r="M40" s="352"/>
      <c r="N40" s="352"/>
      <c r="O40" s="352"/>
      <c r="P40" s="353"/>
      <c r="Q40" s="353"/>
      <c r="R40" s="353"/>
      <c r="S40" s="353"/>
      <c r="T40" s="353"/>
      <c r="U40" s="353"/>
      <c r="V40" s="353"/>
      <c r="W40" s="353"/>
      <c r="X40" s="353"/>
      <c r="Y40" s="353"/>
      <c r="Z40" s="439"/>
      <c r="AA40" s="439"/>
      <c r="AB40" s="439"/>
      <c r="AC40" s="439"/>
      <c r="AD40" s="439"/>
      <c r="AE40" s="439"/>
      <c r="AF40" s="439"/>
      <c r="AG40" s="439"/>
      <c r="AH40" s="439"/>
      <c r="AI40" s="439"/>
      <c r="AJ40" s="439"/>
      <c r="AK40" s="439"/>
      <c r="AL40" s="439"/>
      <c r="AM40" s="439"/>
      <c r="AN40" s="354">
        <f t="shared" si="0"/>
        <v>0</v>
      </c>
      <c r="AO40" s="355" t="e">
        <f t="shared" si="1"/>
        <v>#DIV/0!</v>
      </c>
    </row>
    <row r="41" spans="1:41" s="356" customFormat="1" ht="18" hidden="1" x14ac:dyDescent="0.2">
      <c r="A41" s="347" t="s">
        <v>915</v>
      </c>
      <c r="B41" s="283" t="s">
        <v>898</v>
      </c>
      <c r="C41" s="348">
        <v>1</v>
      </c>
      <c r="D41" s="349"/>
      <c r="E41" s="349"/>
      <c r="F41" s="349"/>
      <c r="G41" s="350" t="s">
        <v>706</v>
      </c>
      <c r="H41" s="351"/>
      <c r="I41" s="351"/>
      <c r="J41" s="351"/>
      <c r="K41" s="351"/>
      <c r="L41" s="352"/>
      <c r="M41" s="352"/>
      <c r="N41" s="352"/>
      <c r="O41" s="352"/>
      <c r="P41" s="353"/>
      <c r="Q41" s="353"/>
      <c r="R41" s="353"/>
      <c r="S41" s="353"/>
      <c r="T41" s="353"/>
      <c r="U41" s="353"/>
      <c r="V41" s="353"/>
      <c r="W41" s="353"/>
      <c r="X41" s="353"/>
      <c r="Y41" s="353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39"/>
      <c r="AL41" s="439"/>
      <c r="AM41" s="439"/>
      <c r="AN41" s="354">
        <f t="shared" si="0"/>
        <v>0</v>
      </c>
      <c r="AO41" s="355" t="e">
        <f t="shared" si="1"/>
        <v>#DIV/0!</v>
      </c>
    </row>
    <row r="42" spans="1:41" ht="52.5" x14ac:dyDescent="0.2">
      <c r="A42" s="260" t="s">
        <v>916</v>
      </c>
      <c r="B42" s="261" t="s">
        <v>345</v>
      </c>
      <c r="C42" s="282">
        <v>1</v>
      </c>
      <c r="D42" s="293"/>
      <c r="E42" s="293"/>
      <c r="F42" s="293"/>
      <c r="G42" s="294" t="s">
        <v>705</v>
      </c>
      <c r="H42" s="280"/>
      <c r="I42" s="280"/>
      <c r="J42" s="280"/>
      <c r="K42" s="280"/>
      <c r="L42" s="427">
        <v>13.1</v>
      </c>
      <c r="M42" s="427">
        <v>14.7</v>
      </c>
      <c r="N42" s="427">
        <v>10.8</v>
      </c>
      <c r="O42" s="427">
        <v>6.5</v>
      </c>
      <c r="P42" s="427">
        <v>3.4</v>
      </c>
      <c r="Q42" s="427">
        <v>6.5</v>
      </c>
      <c r="R42" s="427">
        <v>3.22</v>
      </c>
      <c r="S42" s="313">
        <f>R42*S44/100*S45/100</f>
        <v>3.4866417058033066</v>
      </c>
      <c r="T42" s="313">
        <f>S42*T44/100*T45/100</f>
        <v>4.0156387517679883</v>
      </c>
      <c r="U42" s="313">
        <f>S42*U44/100*U45/100</f>
        <v>4.2231648043425629</v>
      </c>
      <c r="V42" s="313">
        <f>T42*V44/100*V45/100</f>
        <v>3.4683820999774078</v>
      </c>
      <c r="W42" s="313">
        <f>U42*W44/100*W45/100</f>
        <v>3.6769558265724429</v>
      </c>
      <c r="X42" s="313">
        <f>V42*X44/100*X45/100</f>
        <v>3.4401737542707513</v>
      </c>
      <c r="Y42" s="313">
        <f>W42*Y44/100*Y45/100</f>
        <v>3.6692582679862285</v>
      </c>
      <c r="AN42" s="316">
        <f t="shared" si="0"/>
        <v>3.1</v>
      </c>
      <c r="AO42" s="323">
        <f t="shared" si="1"/>
        <v>0.91176470588235303</v>
      </c>
    </row>
    <row r="43" spans="1:41" ht="27" x14ac:dyDescent="0.2">
      <c r="A43" s="347" t="s">
        <v>963</v>
      </c>
      <c r="B43" s="347" t="s">
        <v>962</v>
      </c>
      <c r="C43" s="282"/>
      <c r="D43" s="293"/>
      <c r="E43" s="293"/>
      <c r="F43" s="293"/>
      <c r="G43" s="294"/>
      <c r="H43" s="280"/>
      <c r="I43" s="280"/>
      <c r="J43" s="280"/>
      <c r="K43" s="280"/>
      <c r="L43" s="427"/>
      <c r="M43" s="427"/>
      <c r="N43" s="485">
        <f t="shared" ref="N43:T43" si="10">N42/M42-M42/L42</f>
        <v>-0.38744352702913221</v>
      </c>
      <c r="O43" s="485">
        <f t="shared" si="10"/>
        <v>-0.13284202569916859</v>
      </c>
      <c r="P43" s="485">
        <f t="shared" si="10"/>
        <v>-7.8774928774928754E-2</v>
      </c>
      <c r="Q43" s="485">
        <f t="shared" si="10"/>
        <v>1.3886877828054298</v>
      </c>
      <c r="R43" s="485">
        <f t="shared" si="10"/>
        <v>-1.4163800904977375</v>
      </c>
      <c r="S43" s="485">
        <f t="shared" si="10"/>
        <v>0.5874233677841133</v>
      </c>
      <c r="T43" s="485">
        <f t="shared" si="10"/>
        <v>6.891309705703641E-2</v>
      </c>
      <c r="U43" s="485">
        <f>U42/S42-S42/R42</f>
        <v>0.1284334235159208</v>
      </c>
      <c r="V43" s="485">
        <f>V42/T42-T42/S42</f>
        <v>-0.28800242564052303</v>
      </c>
      <c r="W43" s="485">
        <f>W42/U42-U42/S42</f>
        <v>-0.34057781742771798</v>
      </c>
      <c r="X43" s="485">
        <f>X42/V42-V42/T42</f>
        <v>0.12814834711943157</v>
      </c>
      <c r="Y43" s="485">
        <f>Y42/W42-W42/U42</f>
        <v>0.12724295111252681</v>
      </c>
      <c r="AN43" s="316"/>
      <c r="AO43" s="323"/>
    </row>
    <row r="44" spans="1:41" s="356" customFormat="1" ht="27" x14ac:dyDescent="0.2">
      <c r="A44" s="347" t="s">
        <v>917</v>
      </c>
      <c r="B44" s="283" t="s">
        <v>898</v>
      </c>
      <c r="C44" s="348">
        <v>1</v>
      </c>
      <c r="D44" s="349"/>
      <c r="E44" s="349"/>
      <c r="F44" s="349"/>
      <c r="G44" s="350" t="s">
        <v>704</v>
      </c>
      <c r="H44" s="351"/>
      <c r="I44" s="351"/>
      <c r="J44" s="351"/>
      <c r="K44" s="351"/>
      <c r="L44" s="352">
        <v>85.5</v>
      </c>
      <c r="M44" s="385">
        <f t="shared" ref="M44:R44" si="11">M42/L42/(M45/100)*100</f>
        <v>107.69072980615668</v>
      </c>
      <c r="N44" s="385">
        <f t="shared" si="11"/>
        <v>70.508049669003881</v>
      </c>
      <c r="O44" s="385">
        <f t="shared" si="11"/>
        <v>63.890854761343085</v>
      </c>
      <c r="P44" s="353">
        <f t="shared" si="11"/>
        <v>43.408873284391959</v>
      </c>
      <c r="Q44" s="353">
        <f t="shared" si="11"/>
        <v>190.79488082658213</v>
      </c>
      <c r="R44" s="353">
        <f t="shared" si="11"/>
        <v>47.045072686098329</v>
      </c>
      <c r="S44" s="353">
        <f>AVERAGE(P44:Q44,R44)</f>
        <v>93.749608932357475</v>
      </c>
      <c r="T44" s="353">
        <f>AVERAGE(Q44,R44,S44)</f>
        <v>110.52985414834598</v>
      </c>
      <c r="U44" s="353">
        <f>T44*1.01</f>
        <v>111.63515268982944</v>
      </c>
      <c r="V44" s="353">
        <f>AVERAGE(R44,S44,T44)</f>
        <v>83.774845255600596</v>
      </c>
      <c r="W44" s="353">
        <f>V44*1.01</f>
        <v>84.612593708156609</v>
      </c>
      <c r="X44" s="353">
        <f>AVERAGE(S44,T44,V44)</f>
        <v>96.018102778768025</v>
      </c>
      <c r="Y44" s="353">
        <f>X44*1.01</f>
        <v>96.978283806555709</v>
      </c>
      <c r="AN44" s="362">
        <f t="shared" si="0"/>
        <v>147.38600754219016</v>
      </c>
      <c r="AO44" s="363">
        <f t="shared" si="1"/>
        <v>3.3952967766888369</v>
      </c>
    </row>
    <row r="45" spans="1:41" s="356" customFormat="1" ht="27" x14ac:dyDescent="0.2">
      <c r="A45" s="347" t="s">
        <v>918</v>
      </c>
      <c r="B45" s="283" t="s">
        <v>898</v>
      </c>
      <c r="C45" s="348">
        <v>1</v>
      </c>
      <c r="D45" s="349"/>
      <c r="E45" s="349"/>
      <c r="F45" s="349"/>
      <c r="G45" s="350" t="s">
        <v>706</v>
      </c>
      <c r="H45" s="351"/>
      <c r="I45" s="351"/>
      <c r="J45" s="351"/>
      <c r="K45" s="351"/>
      <c r="L45" s="352">
        <v>104.2</v>
      </c>
      <c r="M45" s="385">
        <v>104.2</v>
      </c>
      <c r="N45" s="385">
        <v>104.2</v>
      </c>
      <c r="O45" s="385">
        <v>94.2</v>
      </c>
      <c r="P45" s="353">
        <v>120.5</v>
      </c>
      <c r="Q45" s="486">
        <v>100.2</v>
      </c>
      <c r="R45" s="486">
        <v>105.3</v>
      </c>
      <c r="S45" s="487">
        <v>115.5</v>
      </c>
      <c r="T45" s="487">
        <v>104.2</v>
      </c>
      <c r="U45" s="487">
        <v>108.5</v>
      </c>
      <c r="V45" s="487">
        <v>103.1</v>
      </c>
      <c r="W45" s="487">
        <v>102.9</v>
      </c>
      <c r="X45" s="487">
        <v>103.3</v>
      </c>
      <c r="Y45" s="487">
        <v>102.9</v>
      </c>
      <c r="AN45" s="362">
        <f t="shared" si="0"/>
        <v>-20.299999999999997</v>
      </c>
      <c r="AO45" s="363">
        <f t="shared" si="1"/>
        <v>-0.16846473029045639</v>
      </c>
    </row>
    <row r="46" spans="1:41" ht="28.5" x14ac:dyDescent="0.2">
      <c r="A46" s="292" t="s">
        <v>919</v>
      </c>
      <c r="B46" s="261"/>
      <c r="C46" s="282"/>
      <c r="D46" s="293"/>
      <c r="E46" s="293"/>
      <c r="F46" s="293"/>
      <c r="G46" s="294"/>
      <c r="H46" s="280"/>
      <c r="I46" s="280"/>
      <c r="J46" s="280"/>
      <c r="K46" s="280"/>
      <c r="L46" s="332"/>
      <c r="M46" s="332"/>
      <c r="N46" s="332"/>
      <c r="O46" s="332"/>
      <c r="P46" s="332"/>
      <c r="Q46" s="332"/>
      <c r="R46" s="332"/>
      <c r="S46" s="313"/>
      <c r="T46" s="313"/>
      <c r="U46" s="313"/>
      <c r="V46" s="313"/>
      <c r="W46" s="313"/>
      <c r="X46" s="313"/>
      <c r="Y46" s="313"/>
      <c r="AN46" s="316">
        <f t="shared" si="0"/>
        <v>0</v>
      </c>
      <c r="AO46" s="323" t="e">
        <f t="shared" si="1"/>
        <v>#DIV/0!</v>
      </c>
    </row>
    <row r="47" spans="1:41" s="266" customFormat="1" ht="52.5" x14ac:dyDescent="0.2">
      <c r="A47" s="264" t="s">
        <v>920</v>
      </c>
      <c r="B47" s="265" t="s">
        <v>345</v>
      </c>
      <c r="C47" s="295">
        <v>1</v>
      </c>
      <c r="D47" s="296"/>
      <c r="E47" s="296"/>
      <c r="F47" s="296"/>
      <c r="G47" s="297" t="s">
        <v>705</v>
      </c>
      <c r="H47" s="298"/>
      <c r="I47" s="298"/>
      <c r="J47" s="298"/>
      <c r="K47" s="298"/>
      <c r="L47" s="318">
        <f t="shared" ref="L47:Y47" si="12">L51+L55+L59+L63+L67+L71+L75+L79+L83+L87+L91+L95+L99+L103</f>
        <v>32275.200000000001</v>
      </c>
      <c r="M47" s="318">
        <f t="shared" si="12"/>
        <v>29556.9</v>
      </c>
      <c r="N47" s="318">
        <f t="shared" si="12"/>
        <v>35254.799999999996</v>
      </c>
      <c r="O47" s="318">
        <f t="shared" si="12"/>
        <v>40700.678</v>
      </c>
      <c r="P47" s="318">
        <f t="shared" si="12"/>
        <v>45293.695</v>
      </c>
      <c r="Q47" s="318">
        <f t="shared" si="12"/>
        <v>47373.04666</v>
      </c>
      <c r="R47" s="318">
        <f t="shared" si="12"/>
        <v>50311.405401129341</v>
      </c>
      <c r="S47" s="318">
        <f t="shared" si="12"/>
        <v>56348.772893171823</v>
      </c>
      <c r="T47" s="318">
        <f t="shared" si="12"/>
        <v>57127.511492659585</v>
      </c>
      <c r="U47" s="318">
        <f t="shared" si="12"/>
        <v>59451.507139558424</v>
      </c>
      <c r="V47" s="318">
        <f t="shared" si="12"/>
        <v>56955.007827226436</v>
      </c>
      <c r="W47" s="318">
        <f t="shared" si="12"/>
        <v>59327.462285053683</v>
      </c>
      <c r="X47" s="318">
        <f t="shared" si="12"/>
        <v>58615.737564898678</v>
      </c>
      <c r="Y47" s="318">
        <f t="shared" si="12"/>
        <v>59194.195856779006</v>
      </c>
      <c r="Z47" s="484"/>
      <c r="AA47" s="484"/>
      <c r="AB47" s="484"/>
      <c r="AC47" s="484"/>
      <c r="AD47" s="484"/>
      <c r="AE47" s="484"/>
      <c r="AF47" s="484"/>
      <c r="AG47" s="484"/>
      <c r="AH47" s="484"/>
      <c r="AI47" s="484"/>
      <c r="AJ47" s="484"/>
      <c r="AK47" s="484"/>
      <c r="AL47" s="484"/>
      <c r="AM47" s="484"/>
      <c r="AN47" s="383">
        <f t="shared" si="0"/>
        <v>2079.3516600000003</v>
      </c>
      <c r="AO47" s="384">
        <f t="shared" si="1"/>
        <v>4.5908192299171091E-2</v>
      </c>
    </row>
    <row r="48" spans="1:41" s="266" customFormat="1" ht="18" x14ac:dyDescent="0.2">
      <c r="A48" s="347" t="s">
        <v>964</v>
      </c>
      <c r="B48" s="283" t="s">
        <v>962</v>
      </c>
      <c r="C48" s="295"/>
      <c r="D48" s="296"/>
      <c r="E48" s="296"/>
      <c r="F48" s="296"/>
      <c r="G48" s="297"/>
      <c r="H48" s="298"/>
      <c r="I48" s="298"/>
      <c r="J48" s="298"/>
      <c r="K48" s="298"/>
      <c r="L48" s="318"/>
      <c r="M48" s="318"/>
      <c r="N48" s="485">
        <f t="shared" ref="N48:T48" si="13">N47/M47-M47/L47</f>
        <v>0.27699988200724679</v>
      </c>
      <c r="O48" s="485">
        <f t="shared" si="13"/>
        <v>-3.830536260328099E-2</v>
      </c>
      <c r="P48" s="485">
        <f t="shared" si="13"/>
        <v>-4.1623297774594947E-2</v>
      </c>
      <c r="Q48" s="485">
        <f t="shared" si="13"/>
        <v>-6.6940468354589999E-2</v>
      </c>
      <c r="R48" s="485">
        <f t="shared" si="13"/>
        <v>1.6117768627897266E-2</v>
      </c>
      <c r="S48" s="485">
        <f t="shared" si="13"/>
        <v>5.7974016094185066E-2</v>
      </c>
      <c r="T48" s="485">
        <f t="shared" si="13"/>
        <v>-0.1061800026100248</v>
      </c>
      <c r="U48" s="485">
        <f>U47/S47-S47/R47</f>
        <v>-6.4936945706110416E-2</v>
      </c>
      <c r="V48" s="485">
        <f>V47/T47-T47/S47</f>
        <v>-1.6839599473232436E-2</v>
      </c>
      <c r="W48" s="485">
        <f>W47/U47-U47/S47</f>
        <v>-5.7149519286146866E-2</v>
      </c>
      <c r="X48" s="485">
        <f>X47/V47-V47/T47</f>
        <v>3.2178250458212654E-2</v>
      </c>
      <c r="Y48" s="485">
        <f>Y47/W47-W47/U47</f>
        <v>-1.5979769741669703E-4</v>
      </c>
      <c r="Z48" s="484"/>
      <c r="AA48" s="484"/>
      <c r="AB48" s="484"/>
      <c r="AC48" s="484"/>
      <c r="AD48" s="484"/>
      <c r="AE48" s="484"/>
      <c r="AF48" s="484"/>
      <c r="AG48" s="484"/>
      <c r="AH48" s="484"/>
      <c r="AI48" s="484"/>
      <c r="AJ48" s="484"/>
      <c r="AK48" s="484"/>
      <c r="AL48" s="484"/>
      <c r="AM48" s="484"/>
      <c r="AN48" s="383"/>
      <c r="AO48" s="384"/>
    </row>
    <row r="49" spans="1:52" s="356" customFormat="1" ht="18" x14ac:dyDescent="0.2">
      <c r="A49" s="347" t="s">
        <v>921</v>
      </c>
      <c r="B49" s="283" t="s">
        <v>898</v>
      </c>
      <c r="C49" s="348">
        <v>1</v>
      </c>
      <c r="D49" s="349"/>
      <c r="E49" s="349"/>
      <c r="F49" s="349"/>
      <c r="G49" s="350" t="s">
        <v>704</v>
      </c>
      <c r="H49" s="351"/>
      <c r="I49" s="351"/>
      <c r="J49" s="351"/>
      <c r="K49" s="351"/>
      <c r="L49" s="352">
        <v>121.5</v>
      </c>
      <c r="M49" s="352">
        <v>97.6</v>
      </c>
      <c r="N49" s="352">
        <v>110.1</v>
      </c>
      <c r="O49" s="352">
        <v>114.8</v>
      </c>
      <c r="P49" s="353">
        <f>P47/O47/P50*100*100</f>
        <v>105.48328537002473</v>
      </c>
      <c r="Q49" s="353">
        <f>Q47/P47/Q50*100*100</f>
        <v>98.763757535332502</v>
      </c>
      <c r="R49" s="353">
        <f>R47/Q47/R50*100*100</f>
        <v>97.612680232267309</v>
      </c>
      <c r="S49" s="353">
        <f>S47/R47/S50*100*100</f>
        <v>80.17179506236603</v>
      </c>
      <c r="T49" s="353">
        <f>T47/S47/T50*100*100</f>
        <v>102.1995941946803</v>
      </c>
      <c r="U49" s="353">
        <f>U47/S47/U50*100*100</f>
        <v>101.93845713189786</v>
      </c>
      <c r="V49" s="353">
        <f>V47/T47/V50*100*100</f>
        <v>98.418595749061808</v>
      </c>
      <c r="W49" s="353">
        <f>W47/U47/W50*100*100</f>
        <v>98.901240042516974</v>
      </c>
      <c r="X49" s="353">
        <f>X47/V47/X50*100*100</f>
        <v>101.69551634349889</v>
      </c>
      <c r="Y49" s="353">
        <f>Y47/W47/Y50*100*100</f>
        <v>99.67569573742054</v>
      </c>
      <c r="Z49" s="439"/>
      <c r="AA49" s="439"/>
      <c r="AB49" s="439"/>
      <c r="AC49" s="439"/>
      <c r="AD49" s="439"/>
      <c r="AE49" s="439"/>
      <c r="AF49" s="439"/>
      <c r="AG49" s="439"/>
      <c r="AH49" s="439"/>
      <c r="AI49" s="439"/>
      <c r="AJ49" s="439"/>
      <c r="AK49" s="439"/>
      <c r="AL49" s="439"/>
      <c r="AM49" s="439"/>
      <c r="AN49" s="354">
        <f t="shared" si="0"/>
        <v>-6.7195278346922294</v>
      </c>
      <c r="AO49" s="355">
        <f t="shared" si="1"/>
        <v>-6.3702299479209468E-2</v>
      </c>
    </row>
    <row r="50" spans="1:52" s="356" customFormat="1" ht="18" x14ac:dyDescent="0.2">
      <c r="A50" s="347" t="s">
        <v>922</v>
      </c>
      <c r="B50" s="283" t="s">
        <v>898</v>
      </c>
      <c r="C50" s="348">
        <v>1</v>
      </c>
      <c r="D50" s="349"/>
      <c r="E50" s="349"/>
      <c r="F50" s="349"/>
      <c r="G50" s="350" t="s">
        <v>706</v>
      </c>
      <c r="H50" s="351"/>
      <c r="I50" s="351"/>
      <c r="J50" s="351"/>
      <c r="K50" s="351"/>
      <c r="L50" s="352">
        <v>82.5</v>
      </c>
      <c r="M50" s="352">
        <v>93.8</v>
      </c>
      <c r="N50" s="352">
        <v>108.6</v>
      </c>
      <c r="O50" s="352">
        <v>99.7</v>
      </c>
      <c r="P50" s="353">
        <v>105.5</v>
      </c>
      <c r="Q50" s="486">
        <v>105.9</v>
      </c>
      <c r="R50" s="486">
        <v>108.8</v>
      </c>
      <c r="S50" s="487">
        <v>139.69999999999999</v>
      </c>
      <c r="T50" s="487">
        <v>99.2</v>
      </c>
      <c r="U50" s="487">
        <v>103.5</v>
      </c>
      <c r="V50" s="487">
        <v>101.3</v>
      </c>
      <c r="W50" s="487">
        <v>100.9</v>
      </c>
      <c r="X50" s="487">
        <v>101.2</v>
      </c>
      <c r="Y50" s="487">
        <v>100.1</v>
      </c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354">
        <f t="shared" si="0"/>
        <v>0.40000000000000568</v>
      </c>
      <c r="AO50" s="355">
        <f t="shared" si="1"/>
        <v>3.7914691943128354E-3</v>
      </c>
    </row>
    <row r="51" spans="1:52" ht="52.5" x14ac:dyDescent="0.2">
      <c r="A51" s="260" t="s">
        <v>923</v>
      </c>
      <c r="B51" s="261" t="s">
        <v>345</v>
      </c>
      <c r="C51" s="282">
        <v>1</v>
      </c>
      <c r="D51" s="293"/>
      <c r="E51" s="293"/>
      <c r="F51" s="293"/>
      <c r="G51" s="294" t="s">
        <v>705</v>
      </c>
      <c r="H51" s="280"/>
      <c r="I51" s="280"/>
      <c r="J51" s="280"/>
      <c r="K51" s="280"/>
      <c r="L51" s="427">
        <v>615</v>
      </c>
      <c r="M51" s="427">
        <v>228.4</v>
      </c>
      <c r="N51" s="427">
        <v>1072.2</v>
      </c>
      <c r="O51" s="427">
        <v>1225.4000000000001</v>
      </c>
      <c r="P51" s="427">
        <v>1549.6</v>
      </c>
      <c r="Q51" s="427">
        <v>1812.6</v>
      </c>
      <c r="R51" s="313">
        <f>Q51*R53/100*R54/100</f>
        <v>2114.5972859999997</v>
      </c>
      <c r="S51" s="313">
        <f>R51*S53/100*S54/100</f>
        <v>2653.5954466176836</v>
      </c>
      <c r="T51" s="313">
        <f>S51*T53/100*T54/100</f>
        <v>3010.8633940439836</v>
      </c>
      <c r="U51" s="313">
        <f>S51*U53/100*U54/100</f>
        <v>3026.7085569338396</v>
      </c>
      <c r="V51" s="313">
        <f>T51*V53/100*V54/100</f>
        <v>3381.2789218706689</v>
      </c>
      <c r="W51" s="313">
        <f>U51*W53/100*W54/100</f>
        <v>3420.0601608281022</v>
      </c>
      <c r="X51" s="313">
        <f>V51*X53/100*X54/100</f>
        <v>3812.816463787206</v>
      </c>
      <c r="Y51" s="313">
        <f>W51*Y53/100*Y54/100</f>
        <v>3880.3164016410346</v>
      </c>
      <c r="AN51" s="316">
        <f t="shared" si="0"/>
        <v>263</v>
      </c>
      <c r="AO51" s="323">
        <f t="shared" si="1"/>
        <v>0.1697212183789365</v>
      </c>
      <c r="AS51" s="267">
        <v>0.3</v>
      </c>
      <c r="AT51" s="267">
        <v>0.3</v>
      </c>
      <c r="AU51" s="267">
        <v>0.3</v>
      </c>
      <c r="AV51" s="267">
        <v>0.3</v>
      </c>
      <c r="AW51" s="267">
        <v>0.3</v>
      </c>
      <c r="AX51" s="267">
        <v>0.3</v>
      </c>
      <c r="AY51" s="267">
        <v>0.3</v>
      </c>
      <c r="AZ51" s="267">
        <v>0.3</v>
      </c>
    </row>
    <row r="52" spans="1:52" ht="27" x14ac:dyDescent="0.2">
      <c r="A52" s="347" t="s">
        <v>965</v>
      </c>
      <c r="B52" s="283" t="s">
        <v>962</v>
      </c>
      <c r="C52" s="282"/>
      <c r="D52" s="293"/>
      <c r="E52" s="293"/>
      <c r="F52" s="293"/>
      <c r="G52" s="294"/>
      <c r="H52" s="280"/>
      <c r="I52" s="280"/>
      <c r="J52" s="280"/>
      <c r="K52" s="280"/>
      <c r="L52" s="427"/>
      <c r="M52" s="427"/>
      <c r="N52" s="485">
        <f t="shared" ref="N52:T52" si="14">N51/M51-M51/L51</f>
        <v>4.323013683026498</v>
      </c>
      <c r="O52" s="485">
        <f t="shared" si="14"/>
        <v>-3.5515120065100123</v>
      </c>
      <c r="P52" s="485">
        <f t="shared" si="14"/>
        <v>0.12168288176944331</v>
      </c>
      <c r="Q52" s="485">
        <f t="shared" si="14"/>
        <v>-9.4845453728130469E-2</v>
      </c>
      <c r="R52" s="485">
        <f t="shared" si="14"/>
        <v>-3.1112183789365755E-3</v>
      </c>
      <c r="S52" s="485">
        <f t="shared" si="14"/>
        <v>8.8284000000000029E-2</v>
      </c>
      <c r="T52" s="485">
        <f t="shared" si="14"/>
        <v>-0.12025857624628511</v>
      </c>
      <c r="U52" s="485">
        <f>U51/S51-S51/R51</f>
        <v>-0.11428737106123976</v>
      </c>
      <c r="V52" s="485">
        <f>V51/T51-T51/S51</f>
        <v>-1.160907571034886E-2</v>
      </c>
      <c r="W52" s="485">
        <f>W51/U51-U51/S51</f>
        <v>-1.0646443973762576E-2</v>
      </c>
      <c r="X52" s="485">
        <f>X51/V51-V51/T51</f>
        <v>4.5991900704172028E-3</v>
      </c>
      <c r="Y52" s="485">
        <f>Y51/W51-W51/U51</f>
        <v>4.6152959240550739E-3</v>
      </c>
      <c r="AN52" s="316"/>
      <c r="AO52" s="323"/>
    </row>
    <row r="53" spans="1:52" s="356" customFormat="1" ht="27" x14ac:dyDescent="0.2">
      <c r="A53" s="347" t="s">
        <v>924</v>
      </c>
      <c r="B53" s="283" t="s">
        <v>898</v>
      </c>
      <c r="C53" s="348">
        <v>1</v>
      </c>
      <c r="D53" s="349"/>
      <c r="E53" s="349"/>
      <c r="F53" s="349"/>
      <c r="G53" s="350" t="s">
        <v>704</v>
      </c>
      <c r="H53" s="351"/>
      <c r="I53" s="351"/>
      <c r="J53" s="351"/>
      <c r="K53" s="351"/>
      <c r="L53" s="386">
        <v>515.20000000000005</v>
      </c>
      <c r="M53" s="353">
        <f>M51/L51/(M54/100)*100</f>
        <v>35.538958260396001</v>
      </c>
      <c r="N53" s="353">
        <f>N51/M51/(N54/100)*100</f>
        <v>449.22447816723798</v>
      </c>
      <c r="O53" s="353">
        <f>O51/N51/(O54/100)*100</f>
        <v>109.36686988876782</v>
      </c>
      <c r="P53" s="353">
        <f>P51/O51/(P54/100)*100</f>
        <v>121.01116479493466</v>
      </c>
      <c r="Q53" s="353">
        <f>Q51/P51/(Q54/100)*100</f>
        <v>109.11578529654258</v>
      </c>
      <c r="R53" s="388">
        <v>105.1</v>
      </c>
      <c r="S53" s="353">
        <f>R53</f>
        <v>105.1</v>
      </c>
      <c r="T53" s="353">
        <f>AVERAGE(Q53,R53,S53)</f>
        <v>106.43859509884753</v>
      </c>
      <c r="U53" s="353">
        <f>T53*1.01</f>
        <v>107.50298104983601</v>
      </c>
      <c r="V53" s="353">
        <f>AVERAGE(S53,T53,U53)</f>
        <v>106.34719204956117</v>
      </c>
      <c r="W53" s="353">
        <f>V53*1.01</f>
        <v>107.41066397005679</v>
      </c>
      <c r="X53" s="353">
        <f>AVERAGE(U53,V53,W53)</f>
        <v>107.08694568981798</v>
      </c>
      <c r="Y53" s="353">
        <f>X53*1.01</f>
        <v>108.15781514671616</v>
      </c>
      <c r="Z53" s="439"/>
      <c r="AA53" s="439"/>
      <c r="AB53" s="439"/>
      <c r="AC53" s="439"/>
      <c r="AD53" s="439"/>
      <c r="AE53" s="439"/>
      <c r="AF53" s="439"/>
      <c r="AG53" s="439"/>
      <c r="AH53" s="439"/>
      <c r="AI53" s="439"/>
      <c r="AJ53" s="439"/>
      <c r="AK53" s="439"/>
      <c r="AL53" s="439"/>
      <c r="AM53" s="439"/>
      <c r="AN53" s="354">
        <f t="shared" si="0"/>
        <v>-11.895379498392074</v>
      </c>
      <c r="AO53" s="355">
        <f t="shared" si="1"/>
        <v>-9.8299851245543857E-2</v>
      </c>
    </row>
    <row r="54" spans="1:52" s="356" customFormat="1" ht="18" x14ac:dyDescent="0.2">
      <c r="A54" s="347" t="s">
        <v>925</v>
      </c>
      <c r="B54" s="283" t="s">
        <v>898</v>
      </c>
      <c r="C54" s="348">
        <v>1</v>
      </c>
      <c r="D54" s="349"/>
      <c r="E54" s="349"/>
      <c r="F54" s="349"/>
      <c r="G54" s="350" t="s">
        <v>706</v>
      </c>
      <c r="H54" s="351"/>
      <c r="I54" s="351"/>
      <c r="J54" s="351"/>
      <c r="K54" s="351"/>
      <c r="L54" s="386">
        <v>104.5</v>
      </c>
      <c r="M54" s="352">
        <v>104.5</v>
      </c>
      <c r="N54" s="352">
        <v>104.5</v>
      </c>
      <c r="O54" s="352">
        <v>104.5</v>
      </c>
      <c r="P54" s="352">
        <v>104.5</v>
      </c>
      <c r="Q54" s="486">
        <v>107.2</v>
      </c>
      <c r="R54" s="486">
        <v>111</v>
      </c>
      <c r="S54" s="487">
        <v>119.4</v>
      </c>
      <c r="T54" s="487">
        <v>106.6</v>
      </c>
      <c r="U54" s="487">
        <v>106.1</v>
      </c>
      <c r="V54" s="487">
        <v>105.6</v>
      </c>
      <c r="W54" s="487">
        <v>105.2</v>
      </c>
      <c r="X54" s="487">
        <v>105.3</v>
      </c>
      <c r="Y54" s="487">
        <v>104.9</v>
      </c>
      <c r="Z54" s="439"/>
      <c r="AA54" s="439"/>
      <c r="AB54" s="439"/>
      <c r="AC54" s="439"/>
      <c r="AD54" s="439"/>
      <c r="AE54" s="439"/>
      <c r="AF54" s="439"/>
      <c r="AG54" s="439"/>
      <c r="AH54" s="439"/>
      <c r="AI54" s="439"/>
      <c r="AJ54" s="439"/>
      <c r="AK54" s="439"/>
      <c r="AL54" s="439"/>
      <c r="AM54" s="439"/>
      <c r="AN54" s="354">
        <f t="shared" si="0"/>
        <v>2.7000000000000028</v>
      </c>
      <c r="AO54" s="355">
        <f t="shared" si="1"/>
        <v>2.5837320574162659E-2</v>
      </c>
    </row>
    <row r="55" spans="1:52" ht="42" x14ac:dyDescent="0.2">
      <c r="A55" s="260" t="s">
        <v>926</v>
      </c>
      <c r="B55" s="261" t="s">
        <v>345</v>
      </c>
      <c r="C55" s="282">
        <v>1</v>
      </c>
      <c r="D55" s="293"/>
      <c r="E55" s="293"/>
      <c r="F55" s="293"/>
      <c r="G55" s="294" t="s">
        <v>705</v>
      </c>
      <c r="H55" s="280"/>
      <c r="I55" s="280"/>
      <c r="J55" s="280"/>
      <c r="K55" s="280"/>
      <c r="L55" s="281"/>
      <c r="M55" s="281"/>
      <c r="N55" s="281"/>
      <c r="O55" s="281">
        <v>7.7779999999999996</v>
      </c>
      <c r="P55" s="313">
        <v>9.4949999999999992</v>
      </c>
      <c r="Q55" s="313">
        <f>P55*0.668</f>
        <v>6.3426599999999995</v>
      </c>
      <c r="R55" s="428">
        <f>Q55*R57/100</f>
        <v>5.0297293799999991</v>
      </c>
      <c r="S55" s="313">
        <f>R55*S57/100*S58/100</f>
        <v>5.3836592733417854</v>
      </c>
      <c r="T55" s="313">
        <f>S55*T57/100*T58/100</f>
        <v>4.3588724925729778</v>
      </c>
      <c r="U55" s="313">
        <f>S55*U57/100*U58/100</f>
        <v>4.377494518722723</v>
      </c>
      <c r="V55" s="313">
        <f>T55*V57/100*V58/100</f>
        <v>3.6808471364267552</v>
      </c>
      <c r="W55" s="313">
        <f>U55*W57/100*W58/100</f>
        <v>3.7192471642641736</v>
      </c>
      <c r="X55" s="313">
        <f>V55*X57/100*X58/100</f>
        <v>3.1186522857328218</v>
      </c>
      <c r="Y55" s="313">
        <f>W55*Y57/100*Y58/100</f>
        <v>3.1735359098643676</v>
      </c>
      <c r="AN55" s="316">
        <f t="shared" si="0"/>
        <v>-3.1523399999999997</v>
      </c>
      <c r="AO55" s="323">
        <f t="shared" si="1"/>
        <v>-0.33199999999999996</v>
      </c>
    </row>
    <row r="56" spans="1:52" ht="36" x14ac:dyDescent="0.2">
      <c r="A56" s="347" t="s">
        <v>926</v>
      </c>
      <c r="B56" s="283" t="s">
        <v>345</v>
      </c>
      <c r="C56" s="282"/>
      <c r="D56" s="293"/>
      <c r="E56" s="293"/>
      <c r="F56" s="293"/>
      <c r="G56" s="294"/>
      <c r="H56" s="280"/>
      <c r="I56" s="280"/>
      <c r="J56" s="280"/>
      <c r="K56" s="280"/>
      <c r="L56" s="281"/>
      <c r="M56" s="281"/>
      <c r="N56" s="485" t="e">
        <f t="shared" ref="N56:T56" si="15">N55/M55-M55/L55</f>
        <v>#DIV/0!</v>
      </c>
      <c r="O56" s="485" t="e">
        <f t="shared" si="15"/>
        <v>#DIV/0!</v>
      </c>
      <c r="P56" s="485" t="e">
        <f t="shared" si="15"/>
        <v>#DIV/0!</v>
      </c>
      <c r="Q56" s="485">
        <f t="shared" si="15"/>
        <v>-0.55275083569040884</v>
      </c>
      <c r="R56" s="485">
        <f t="shared" si="15"/>
        <v>0.12499999999999989</v>
      </c>
      <c r="S56" s="485">
        <f t="shared" si="15"/>
        <v>0.27736758175283516</v>
      </c>
      <c r="T56" s="485">
        <f t="shared" si="15"/>
        <v>-0.26071892620794102</v>
      </c>
      <c r="U56" s="485">
        <f>U55/S55-S55/R55</f>
        <v>-0.25725993573245609</v>
      </c>
      <c r="V56" s="485">
        <f>V55/T55-T55/S55</f>
        <v>3.4800715869043652E-2</v>
      </c>
      <c r="W56" s="485">
        <f>W55/U55-U55/S55</f>
        <v>3.6521553595246226E-2</v>
      </c>
      <c r="X56" s="485">
        <f>X55/V55-V55/T55</f>
        <v>2.8154483797759866E-3</v>
      </c>
      <c r="Y56" s="485">
        <f>Y55/W55-W55/U55</f>
        <v>3.6445328635736907E-3</v>
      </c>
      <c r="AN56" s="316"/>
      <c r="AO56" s="323"/>
    </row>
    <row r="57" spans="1:52" s="356" customFormat="1" ht="18" x14ac:dyDescent="0.2">
      <c r="A57" s="347" t="s">
        <v>927</v>
      </c>
      <c r="B57" s="283" t="s">
        <v>898</v>
      </c>
      <c r="C57" s="348">
        <v>1</v>
      </c>
      <c r="D57" s="349"/>
      <c r="E57" s="349"/>
      <c r="F57" s="349"/>
      <c r="G57" s="350" t="s">
        <v>704</v>
      </c>
      <c r="H57" s="351"/>
      <c r="I57" s="351"/>
      <c r="J57" s="351"/>
      <c r="K57" s="351"/>
      <c r="L57" s="352"/>
      <c r="M57" s="353"/>
      <c r="N57" s="353"/>
      <c r="O57" s="353" t="e">
        <f>O55/N55/(O58/100)*100</f>
        <v>#DIV/0!</v>
      </c>
      <c r="P57" s="353">
        <f>P55/O55/(P58/100)*100</f>
        <v>116.81826178855587</v>
      </c>
      <c r="Q57" s="353">
        <f>Q55/P55/(Q58/100)*100</f>
        <v>63.679694947569111</v>
      </c>
      <c r="R57" s="388">
        <v>79.3</v>
      </c>
      <c r="S57" s="353">
        <f>AVERAGE(P57:Q57,R57)</f>
        <v>86.599318912041667</v>
      </c>
      <c r="T57" s="353">
        <f>AVERAGE(Q57,R57,S57)</f>
        <v>76.526337953203594</v>
      </c>
      <c r="U57" s="353">
        <f>T57*1.01</f>
        <v>77.291601332735624</v>
      </c>
      <c r="V57" s="353">
        <f>AVERAGE(R57,S57,T57)</f>
        <v>80.8085522884151</v>
      </c>
      <c r="W57" s="353">
        <f>V57*1.01</f>
        <v>81.616637811299256</v>
      </c>
      <c r="X57" s="353">
        <f>AVERAGE(S57,T57,V57)</f>
        <v>81.311403051220125</v>
      </c>
      <c r="Y57" s="353">
        <f>X57*1.01</f>
        <v>82.124517081732321</v>
      </c>
      <c r="Z57" s="439"/>
      <c r="AA57" s="439"/>
      <c r="AB57" s="439"/>
      <c r="AC57" s="439"/>
      <c r="AD57" s="439"/>
      <c r="AE57" s="439"/>
      <c r="AF57" s="439"/>
      <c r="AG57" s="439"/>
      <c r="AH57" s="439"/>
      <c r="AI57" s="439"/>
      <c r="AJ57" s="439"/>
      <c r="AK57" s="439"/>
      <c r="AL57" s="439"/>
      <c r="AM57" s="439"/>
      <c r="AN57" s="354">
        <f t="shared" si="0"/>
        <v>-53.138566840986762</v>
      </c>
      <c r="AO57" s="355">
        <f t="shared" si="1"/>
        <v>-0.4548823619475606</v>
      </c>
    </row>
    <row r="58" spans="1:52" s="356" customFormat="1" ht="18" x14ac:dyDescent="0.2">
      <c r="A58" s="347" t="s">
        <v>928</v>
      </c>
      <c r="B58" s="283" t="s">
        <v>898</v>
      </c>
      <c r="C58" s="348">
        <v>1</v>
      </c>
      <c r="D58" s="349"/>
      <c r="E58" s="349"/>
      <c r="F58" s="349"/>
      <c r="G58" s="350" t="s">
        <v>706</v>
      </c>
      <c r="H58" s="351"/>
      <c r="I58" s="351"/>
      <c r="J58" s="351"/>
      <c r="K58" s="351"/>
      <c r="L58" s="352"/>
      <c r="M58" s="352"/>
      <c r="N58" s="352"/>
      <c r="O58" s="352">
        <f>O54</f>
        <v>104.5</v>
      </c>
      <c r="P58" s="352">
        <f>P54</f>
        <v>104.5</v>
      </c>
      <c r="Q58" s="486">
        <v>104.9</v>
      </c>
      <c r="R58" s="486">
        <v>106.1</v>
      </c>
      <c r="S58" s="487">
        <v>123.6</v>
      </c>
      <c r="T58" s="487">
        <v>105.8</v>
      </c>
      <c r="U58" s="487">
        <v>105.2</v>
      </c>
      <c r="V58" s="487">
        <v>104.5</v>
      </c>
      <c r="W58" s="487">
        <v>104.1</v>
      </c>
      <c r="X58" s="487">
        <v>104.2</v>
      </c>
      <c r="Y58" s="487">
        <v>103.9</v>
      </c>
      <c r="Z58" s="439"/>
      <c r="AA58" s="439"/>
      <c r="AB58" s="439"/>
      <c r="AC58" s="439"/>
      <c r="AD58" s="439"/>
      <c r="AE58" s="439"/>
      <c r="AF58" s="439"/>
      <c r="AG58" s="439"/>
      <c r="AH58" s="439"/>
      <c r="AI58" s="439"/>
      <c r="AJ58" s="439"/>
      <c r="AK58" s="439"/>
      <c r="AL58" s="439"/>
      <c r="AM58" s="439"/>
      <c r="AN58" s="354">
        <f t="shared" si="0"/>
        <v>0.40000000000000568</v>
      </c>
      <c r="AO58" s="355">
        <f t="shared" si="1"/>
        <v>3.827751196172402E-3</v>
      </c>
    </row>
    <row r="59" spans="1:52" ht="52.5" hidden="1" x14ac:dyDescent="0.2">
      <c r="A59" s="260" t="s">
        <v>929</v>
      </c>
      <c r="B59" s="261" t="s">
        <v>345</v>
      </c>
      <c r="C59" s="282">
        <v>1</v>
      </c>
      <c r="D59" s="293"/>
      <c r="E59" s="293"/>
      <c r="F59" s="293"/>
      <c r="G59" s="294" t="s">
        <v>705</v>
      </c>
      <c r="H59" s="280"/>
      <c r="I59" s="280"/>
      <c r="J59" s="280"/>
      <c r="K59" s="280"/>
      <c r="L59" s="281"/>
      <c r="M59" s="281"/>
      <c r="N59" s="281"/>
      <c r="O59" s="281"/>
      <c r="P59" s="313"/>
      <c r="Q59" s="313"/>
      <c r="R59" s="313"/>
      <c r="S59" s="313"/>
      <c r="T59" s="313"/>
      <c r="U59" s="313"/>
      <c r="V59" s="313"/>
      <c r="W59" s="313"/>
      <c r="X59" s="313"/>
      <c r="Y59" s="313"/>
      <c r="AN59" s="316">
        <f t="shared" si="0"/>
        <v>0</v>
      </c>
      <c r="AO59" s="323" t="e">
        <f t="shared" si="1"/>
        <v>#DIV/0!</v>
      </c>
    </row>
    <row r="60" spans="1:52" ht="31.5" hidden="1" x14ac:dyDescent="0.2">
      <c r="A60" s="263" t="s">
        <v>966</v>
      </c>
      <c r="B60" s="283" t="s">
        <v>962</v>
      </c>
      <c r="C60" s="282"/>
      <c r="D60" s="293"/>
      <c r="E60" s="293"/>
      <c r="F60" s="293"/>
      <c r="G60" s="294"/>
      <c r="H60" s="280"/>
      <c r="I60" s="280"/>
      <c r="J60" s="280"/>
      <c r="K60" s="280"/>
      <c r="L60" s="281"/>
      <c r="M60" s="281"/>
      <c r="N60" s="281"/>
      <c r="O60" s="281"/>
      <c r="P60" s="313"/>
      <c r="Q60" s="313"/>
      <c r="R60" s="313"/>
      <c r="S60" s="313"/>
      <c r="T60" s="313"/>
      <c r="U60" s="313"/>
      <c r="V60" s="313"/>
      <c r="W60" s="313"/>
      <c r="X60" s="313"/>
      <c r="Y60" s="313"/>
      <c r="AN60" s="316"/>
      <c r="AO60" s="323"/>
    </row>
    <row r="61" spans="1:52" s="288" customFormat="1" ht="31.5" hidden="1" x14ac:dyDescent="0.2">
      <c r="A61" s="263" t="s">
        <v>930</v>
      </c>
      <c r="B61" s="283" t="s">
        <v>898</v>
      </c>
      <c r="C61" s="284">
        <v>1</v>
      </c>
      <c r="D61" s="299"/>
      <c r="E61" s="299"/>
      <c r="F61" s="299"/>
      <c r="G61" s="300" t="s">
        <v>704</v>
      </c>
      <c r="H61" s="287"/>
      <c r="I61" s="287"/>
      <c r="J61" s="287"/>
      <c r="K61" s="287"/>
      <c r="L61" s="319"/>
      <c r="M61" s="319"/>
      <c r="N61" s="319"/>
      <c r="O61" s="319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481"/>
      <c r="AA61" s="481"/>
      <c r="AB61" s="481"/>
      <c r="AC61" s="481"/>
      <c r="AD61" s="481"/>
      <c r="AE61" s="481"/>
      <c r="AF61" s="481"/>
      <c r="AG61" s="481"/>
      <c r="AH61" s="481"/>
      <c r="AI61" s="481"/>
      <c r="AJ61" s="481"/>
      <c r="AK61" s="481"/>
      <c r="AL61" s="481"/>
      <c r="AM61" s="481"/>
      <c r="AN61" s="330">
        <f t="shared" si="0"/>
        <v>0</v>
      </c>
      <c r="AO61" s="331" t="e">
        <f t="shared" si="1"/>
        <v>#DIV/0!</v>
      </c>
    </row>
    <row r="62" spans="1:52" s="288" customFormat="1" ht="31.5" hidden="1" x14ac:dyDescent="0.2">
      <c r="A62" s="263" t="s">
        <v>935</v>
      </c>
      <c r="B62" s="283" t="s">
        <v>898</v>
      </c>
      <c r="C62" s="284">
        <v>1</v>
      </c>
      <c r="D62" s="299"/>
      <c r="E62" s="299"/>
      <c r="F62" s="299"/>
      <c r="G62" s="300" t="s">
        <v>706</v>
      </c>
      <c r="H62" s="287"/>
      <c r="I62" s="287"/>
      <c r="J62" s="287"/>
      <c r="K62" s="287"/>
      <c r="L62" s="319"/>
      <c r="M62" s="319"/>
      <c r="N62" s="319"/>
      <c r="O62" s="319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481"/>
      <c r="AA62" s="481"/>
      <c r="AB62" s="481"/>
      <c r="AC62" s="481"/>
      <c r="AD62" s="481"/>
      <c r="AE62" s="481"/>
      <c r="AF62" s="481"/>
      <c r="AG62" s="481"/>
      <c r="AH62" s="481"/>
      <c r="AI62" s="481"/>
      <c r="AJ62" s="481"/>
      <c r="AK62" s="481"/>
      <c r="AL62" s="481"/>
      <c r="AM62" s="481"/>
      <c r="AN62" s="330">
        <f t="shared" si="0"/>
        <v>0</v>
      </c>
      <c r="AO62" s="331" t="e">
        <f t="shared" si="1"/>
        <v>#DIV/0!</v>
      </c>
    </row>
    <row r="63" spans="1:52" ht="52.5" x14ac:dyDescent="0.2">
      <c r="A63" s="260" t="s">
        <v>936</v>
      </c>
      <c r="B63" s="261" t="s">
        <v>345</v>
      </c>
      <c r="C63" s="282">
        <v>1</v>
      </c>
      <c r="D63" s="293"/>
      <c r="E63" s="293"/>
      <c r="F63" s="293"/>
      <c r="G63" s="294" t="s">
        <v>705</v>
      </c>
      <c r="H63" s="280"/>
      <c r="I63" s="280"/>
      <c r="J63" s="280"/>
      <c r="K63" s="280"/>
      <c r="L63" s="427">
        <v>82.4</v>
      </c>
      <c r="M63" s="427">
        <v>50.6</v>
      </c>
      <c r="N63" s="427">
        <v>90.2</v>
      </c>
      <c r="O63" s="427">
        <v>120.8</v>
      </c>
      <c r="P63" s="427">
        <v>123.4</v>
      </c>
      <c r="Q63" s="427">
        <v>136.4</v>
      </c>
      <c r="R63" s="313">
        <f>Q63*R65/100*R66/100</f>
        <v>170.02069039999998</v>
      </c>
      <c r="S63" s="313">
        <f>R63*S65/100*S66/100</f>
        <v>231.35105754647492</v>
      </c>
      <c r="T63" s="313">
        <f>S63*T65/100*T66/100</f>
        <v>256.38818397345278</v>
      </c>
      <c r="U63" s="313">
        <f>S63*U65/100*U66/100</f>
        <v>260.20911467635813</v>
      </c>
      <c r="V63" s="313">
        <f>T63*V65/100*V66/100</f>
        <v>283.21912689759819</v>
      </c>
      <c r="W63" s="313">
        <f>U63*W65/100*W66/100</f>
        <v>289.75869048133205</v>
      </c>
      <c r="X63" s="313">
        <f>V63*X65/100*X66/100</f>
        <v>315.55756004144564</v>
      </c>
      <c r="Y63" s="313">
        <f>W63*Y65/100*Y66/100</f>
        <v>324.52248704190629</v>
      </c>
      <c r="AN63" s="316">
        <f t="shared" si="0"/>
        <v>13</v>
      </c>
      <c r="AO63" s="323">
        <f t="shared" si="1"/>
        <v>0.10534846029173428</v>
      </c>
    </row>
    <row r="64" spans="1:52" ht="18" x14ac:dyDescent="0.2">
      <c r="A64" s="347" t="s">
        <v>967</v>
      </c>
      <c r="B64" s="283" t="s">
        <v>962</v>
      </c>
      <c r="C64" s="282"/>
      <c r="D64" s="293"/>
      <c r="E64" s="293"/>
      <c r="F64" s="293"/>
      <c r="G64" s="294"/>
      <c r="H64" s="280"/>
      <c r="I64" s="280"/>
      <c r="J64" s="280"/>
      <c r="K64" s="280"/>
      <c r="L64" s="427"/>
      <c r="M64" s="427"/>
      <c r="N64" s="485">
        <f t="shared" ref="N64:T64" si="16">N63/M63-M63/L63</f>
        <v>1.1685310257492612</v>
      </c>
      <c r="O64" s="485">
        <f t="shared" si="16"/>
        <v>-0.44336257591824935</v>
      </c>
      <c r="P64" s="485">
        <f t="shared" si="16"/>
        <v>-0.31772294092597742</v>
      </c>
      <c r="Q64" s="485">
        <f t="shared" si="16"/>
        <v>8.3825281483787206E-2</v>
      </c>
      <c r="R64" s="485">
        <f t="shared" si="16"/>
        <v>0.14113753970826548</v>
      </c>
      <c r="S64" s="485">
        <f t="shared" si="16"/>
        <v>0.11423696261229033</v>
      </c>
      <c r="T64" s="485">
        <f t="shared" si="16"/>
        <v>-0.25250160113462194</v>
      </c>
      <c r="U64" s="485">
        <f>U63/S63-S63/R63</f>
        <v>-0.23598587501939661</v>
      </c>
      <c r="V64" s="485">
        <f>V63/T63-T63/S63</f>
        <v>-3.5716755665438082E-3</v>
      </c>
      <c r="W64" s="485">
        <f>W63/U63-U63/S63</f>
        <v>-1.1176208521739506E-2</v>
      </c>
      <c r="X64" s="485">
        <f>X63/V63-V63/T63</f>
        <v>9.5319850024360164E-3</v>
      </c>
      <c r="Y64" s="485">
        <f>Y63/W63-W63/U63</f>
        <v>6.4141128879360298E-3</v>
      </c>
      <c r="AN64" s="316"/>
      <c r="AO64" s="323"/>
    </row>
    <row r="65" spans="1:41" s="356" customFormat="1" ht="18" x14ac:dyDescent="0.2">
      <c r="A65" s="347" t="s">
        <v>937</v>
      </c>
      <c r="B65" s="283" t="s">
        <v>898</v>
      </c>
      <c r="C65" s="348">
        <v>1</v>
      </c>
      <c r="D65" s="349"/>
      <c r="E65" s="349"/>
      <c r="F65" s="349"/>
      <c r="G65" s="350" t="s">
        <v>704</v>
      </c>
      <c r="H65" s="351"/>
      <c r="I65" s="351"/>
      <c r="J65" s="351"/>
      <c r="K65" s="351"/>
      <c r="L65" s="352">
        <v>140.9</v>
      </c>
      <c r="M65" s="353">
        <f>M63/L63/(M66/100)*100</f>
        <v>57.070415418486306</v>
      </c>
      <c r="N65" s="353">
        <f>N63/M63/(N66/100)*100</f>
        <v>165.66995312752547</v>
      </c>
      <c r="O65" s="353">
        <f>O63/N63/(O66/100)*100</f>
        <v>124.4652527633759</v>
      </c>
      <c r="P65" s="353">
        <f>P63/O63/(P66/100)*100</f>
        <v>94.937098402225573</v>
      </c>
      <c r="Q65" s="353">
        <f>Q63/P63/(Q66/100)*100</f>
        <v>113.25291601349736</v>
      </c>
      <c r="R65" s="388">
        <v>105.1</v>
      </c>
      <c r="S65" s="353">
        <f>AVERAGE(P65:Q65,R65)</f>
        <v>104.43000480524097</v>
      </c>
      <c r="T65" s="353">
        <f>AVERAGE(Q65,R65,S65)</f>
        <v>107.59430693957944</v>
      </c>
      <c r="U65" s="353">
        <f>T65*1.01</f>
        <v>108.67025000897523</v>
      </c>
      <c r="V65" s="353">
        <f>AVERAGE(R65,S65,T65)</f>
        <v>105.70810391494012</v>
      </c>
      <c r="W65" s="353">
        <f>V65*1.01</f>
        <v>106.76518495408953</v>
      </c>
      <c r="X65" s="353">
        <f>AVERAGE(S65,T65,V65)</f>
        <v>105.91080521992018</v>
      </c>
      <c r="Y65" s="353">
        <f>X65*1.01</f>
        <v>106.96991327211938</v>
      </c>
      <c r="Z65" s="439"/>
      <c r="AA65" s="439"/>
      <c r="AB65" s="439"/>
      <c r="AC65" s="439"/>
      <c r="AD65" s="439"/>
      <c r="AE65" s="439"/>
      <c r="AF65" s="439"/>
      <c r="AG65" s="439"/>
      <c r="AH65" s="439"/>
      <c r="AI65" s="439"/>
      <c r="AJ65" s="439"/>
      <c r="AK65" s="439"/>
      <c r="AL65" s="439"/>
      <c r="AM65" s="439"/>
      <c r="AN65" s="354">
        <f t="shared" si="0"/>
        <v>18.315817611271783</v>
      </c>
      <c r="AO65" s="355">
        <f t="shared" si="1"/>
        <v>0.1929258205646025</v>
      </c>
    </row>
    <row r="66" spans="1:41" s="356" customFormat="1" ht="18" x14ac:dyDescent="0.2">
      <c r="A66" s="347" t="s">
        <v>938</v>
      </c>
      <c r="B66" s="283" t="s">
        <v>898</v>
      </c>
      <c r="C66" s="348">
        <v>1</v>
      </c>
      <c r="D66" s="349"/>
      <c r="E66" s="349"/>
      <c r="F66" s="349"/>
      <c r="G66" s="350" t="s">
        <v>706</v>
      </c>
      <c r="H66" s="351"/>
      <c r="I66" s="351"/>
      <c r="J66" s="351"/>
      <c r="K66" s="351"/>
      <c r="L66" s="352">
        <v>107.6</v>
      </c>
      <c r="M66" s="352">
        <v>107.6</v>
      </c>
      <c r="N66" s="352">
        <v>107.6</v>
      </c>
      <c r="O66" s="352">
        <v>107.6</v>
      </c>
      <c r="P66" s="352">
        <v>107.6</v>
      </c>
      <c r="Q66" s="487">
        <v>97.6</v>
      </c>
      <c r="R66" s="487">
        <v>118.6</v>
      </c>
      <c r="S66" s="487">
        <v>130.30000000000001</v>
      </c>
      <c r="T66" s="487">
        <v>103</v>
      </c>
      <c r="U66" s="487">
        <v>103.5</v>
      </c>
      <c r="V66" s="487">
        <v>104.5</v>
      </c>
      <c r="W66" s="487">
        <v>104.3</v>
      </c>
      <c r="X66" s="487">
        <v>105.2</v>
      </c>
      <c r="Y66" s="487">
        <v>104.7</v>
      </c>
      <c r="Z66" s="439"/>
      <c r="AA66" s="439"/>
      <c r="AB66" s="439"/>
      <c r="AC66" s="439"/>
      <c r="AD66" s="439"/>
      <c r="AE66" s="439"/>
      <c r="AF66" s="439"/>
      <c r="AG66" s="439"/>
      <c r="AH66" s="439"/>
      <c r="AI66" s="439"/>
      <c r="AJ66" s="439"/>
      <c r="AK66" s="439"/>
      <c r="AL66" s="439"/>
      <c r="AM66" s="439"/>
      <c r="AN66" s="354">
        <f t="shared" si="0"/>
        <v>-10</v>
      </c>
      <c r="AO66" s="355">
        <f t="shared" si="1"/>
        <v>-9.2936802973977661E-2</v>
      </c>
    </row>
    <row r="67" spans="1:41" ht="63" x14ac:dyDescent="0.2">
      <c r="A67" s="260" t="s">
        <v>939</v>
      </c>
      <c r="B67" s="261" t="s">
        <v>345</v>
      </c>
      <c r="C67" s="282">
        <v>1</v>
      </c>
      <c r="D67" s="293"/>
      <c r="E67" s="293"/>
      <c r="F67" s="293"/>
      <c r="G67" s="294" t="s">
        <v>705</v>
      </c>
      <c r="H67" s="280"/>
      <c r="I67" s="280"/>
      <c r="J67" s="280"/>
      <c r="K67" s="280"/>
      <c r="L67" s="427">
        <v>2.8</v>
      </c>
      <c r="M67" s="427">
        <v>1.5</v>
      </c>
      <c r="N67" s="427">
        <v>1.5</v>
      </c>
      <c r="O67" s="427">
        <v>1.6</v>
      </c>
      <c r="P67" s="427">
        <v>1.6</v>
      </c>
      <c r="Q67" s="427">
        <f>P67*0.065</f>
        <v>0.10400000000000001</v>
      </c>
      <c r="R67" s="313">
        <f>Q67*R69/100*R70/100</f>
        <v>0.14616201600000001</v>
      </c>
      <c r="S67" s="313">
        <f>R67*S69/100*S70/100</f>
        <v>0.15661227274400713</v>
      </c>
      <c r="T67" s="313">
        <f>S67*T69/100*T70/100</f>
        <v>0.11748762637076149</v>
      </c>
      <c r="U67" s="313">
        <f>S67*U69/100*U70/100</f>
        <v>0.11811160893607323</v>
      </c>
      <c r="V67" s="313">
        <f>T67*V69/100*V70/100</f>
        <v>0.11137260061369275</v>
      </c>
      <c r="W67" s="313">
        <f>U67*W69/100*W70/100</f>
        <v>0.11265006056610952</v>
      </c>
      <c r="X67" s="313">
        <f>V67*X69/100*X70/100</f>
        <v>9.0498538214770996E-2</v>
      </c>
      <c r="Y67" s="313">
        <f>W67*Y69/100*Y70/100</f>
        <v>9.2184733201883015E-2</v>
      </c>
      <c r="AN67" s="316">
        <f t="shared" si="0"/>
        <v>-1.496</v>
      </c>
      <c r="AO67" s="323">
        <f t="shared" si="1"/>
        <v>-0.93500000000000005</v>
      </c>
    </row>
    <row r="68" spans="1:41" ht="27" x14ac:dyDescent="0.2">
      <c r="A68" s="347" t="s">
        <v>968</v>
      </c>
      <c r="B68" s="283" t="s">
        <v>962</v>
      </c>
      <c r="C68" s="282"/>
      <c r="D68" s="293"/>
      <c r="E68" s="293"/>
      <c r="F68" s="293"/>
      <c r="G68" s="294"/>
      <c r="H68" s="280"/>
      <c r="I68" s="280"/>
      <c r="J68" s="280"/>
      <c r="K68" s="280"/>
      <c r="L68" s="427"/>
      <c r="M68" s="427"/>
      <c r="N68" s="485">
        <f t="shared" ref="N68:T68" si="17">N67/M67-M67/L67</f>
        <v>0.4642857142857143</v>
      </c>
      <c r="O68" s="485">
        <f t="shared" si="17"/>
        <v>6.6666666666666652E-2</v>
      </c>
      <c r="P68" s="485">
        <f t="shared" si="17"/>
        <v>-6.6666666666666652E-2</v>
      </c>
      <c r="Q68" s="485">
        <f t="shared" si="17"/>
        <v>-0.93500000000000005</v>
      </c>
      <c r="R68" s="485">
        <f t="shared" si="17"/>
        <v>1.3404039999999999</v>
      </c>
      <c r="S68" s="485">
        <f t="shared" si="17"/>
        <v>-0.33390623998000168</v>
      </c>
      <c r="T68" s="485">
        <f t="shared" si="17"/>
        <v>-0.32131628118530564</v>
      </c>
      <c r="U68" s="485">
        <f>U67/S67-S67/R67</f>
        <v>-0.31733203043420588</v>
      </c>
      <c r="V68" s="485">
        <f>V67/T67-T67/S67</f>
        <v>0.19777026769416106</v>
      </c>
      <c r="W68" s="485">
        <f>W67/U67-U67/S67</f>
        <v>0.19959369830482498</v>
      </c>
      <c r="X68" s="485">
        <f>X67/V67-V67/T67</f>
        <v>-0.13537721997474694</v>
      </c>
      <c r="Y68" s="485">
        <f>Y67/W67-W67/U67</f>
        <v>-0.13543112217449449</v>
      </c>
      <c r="AN68" s="316"/>
      <c r="AO68" s="323"/>
    </row>
    <row r="69" spans="1:41" s="356" customFormat="1" ht="27" x14ac:dyDescent="0.2">
      <c r="A69" s="347" t="s">
        <v>940</v>
      </c>
      <c r="B69" s="283" t="s">
        <v>898</v>
      </c>
      <c r="C69" s="348">
        <v>1</v>
      </c>
      <c r="D69" s="349"/>
      <c r="E69" s="349"/>
      <c r="F69" s="349"/>
      <c r="G69" s="350" t="s">
        <v>704</v>
      </c>
      <c r="H69" s="351"/>
      <c r="I69" s="351"/>
      <c r="J69" s="351"/>
      <c r="K69" s="351"/>
      <c r="L69" s="352">
        <v>126.9</v>
      </c>
      <c r="M69" s="353">
        <f>M67/L67/(M70/100)*100</f>
        <v>47.282814273105537</v>
      </c>
      <c r="N69" s="353">
        <f>N67/M67/(N70/100)*100</f>
        <v>88.261253309796999</v>
      </c>
      <c r="O69" s="353">
        <f>O67/N67/(O70/100)*100</f>
        <v>94.14533686378347</v>
      </c>
      <c r="P69" s="353">
        <f>P67/O67/(P70/100)*100</f>
        <v>88.261253309796999</v>
      </c>
      <c r="Q69" s="353">
        <f>Q67/P67/(Q70/100)*100</f>
        <v>5.9578368469294229</v>
      </c>
      <c r="R69" s="388">
        <v>128.69999999999999</v>
      </c>
      <c r="S69" s="353">
        <f>AVERAGE(P69:Q69,R69)</f>
        <v>74.306363385575466</v>
      </c>
      <c r="T69" s="353">
        <f>AVERAGE(Q69,R69,S69)</f>
        <v>69.654733410834965</v>
      </c>
      <c r="U69" s="353">
        <f>T69*1.01</f>
        <v>70.35128074494331</v>
      </c>
      <c r="V69" s="353">
        <f>AVERAGE(R69,S69,T69)</f>
        <v>90.887032265470154</v>
      </c>
      <c r="W69" s="353">
        <f>V69*1.01</f>
        <v>91.795902588124861</v>
      </c>
      <c r="X69" s="353">
        <f>AVERAGE(S69,T69,V69)</f>
        <v>78.282709687293519</v>
      </c>
      <c r="Y69" s="353">
        <f>X69*1.01</f>
        <v>79.065536784166454</v>
      </c>
      <c r="Z69" s="439"/>
      <c r="AA69" s="439"/>
      <c r="AB69" s="439"/>
      <c r="AC69" s="439"/>
      <c r="AD69" s="439"/>
      <c r="AE69" s="439"/>
      <c r="AF69" s="439"/>
      <c r="AG69" s="439"/>
      <c r="AH69" s="439"/>
      <c r="AI69" s="439"/>
      <c r="AJ69" s="439"/>
      <c r="AK69" s="439"/>
      <c r="AL69" s="439"/>
      <c r="AM69" s="439"/>
      <c r="AN69" s="354">
        <f t="shared" si="0"/>
        <v>-82.303416462867574</v>
      </c>
      <c r="AO69" s="355">
        <f t="shared" si="1"/>
        <v>-0.93249770852428959</v>
      </c>
    </row>
    <row r="70" spans="1:41" s="356" customFormat="1" ht="27" x14ac:dyDescent="0.2">
      <c r="A70" s="347" t="s">
        <v>941</v>
      </c>
      <c r="B70" s="283" t="s">
        <v>898</v>
      </c>
      <c r="C70" s="348">
        <v>1</v>
      </c>
      <c r="D70" s="349"/>
      <c r="E70" s="349"/>
      <c r="F70" s="349"/>
      <c r="G70" s="350" t="s">
        <v>706</v>
      </c>
      <c r="H70" s="351"/>
      <c r="I70" s="351"/>
      <c r="J70" s="351"/>
      <c r="K70" s="351"/>
      <c r="L70" s="352">
        <v>113.3</v>
      </c>
      <c r="M70" s="352">
        <v>113.3</v>
      </c>
      <c r="N70" s="352">
        <v>113.3</v>
      </c>
      <c r="O70" s="352">
        <v>113.3</v>
      </c>
      <c r="P70" s="352">
        <v>113.3</v>
      </c>
      <c r="Q70" s="487">
        <v>109.1</v>
      </c>
      <c r="R70" s="487">
        <v>109.2</v>
      </c>
      <c r="S70" s="487">
        <v>144.19999999999999</v>
      </c>
      <c r="T70" s="487">
        <v>107.7</v>
      </c>
      <c r="U70" s="487">
        <v>107.2</v>
      </c>
      <c r="V70" s="487">
        <v>104.3</v>
      </c>
      <c r="W70" s="487">
        <v>103.9</v>
      </c>
      <c r="X70" s="487">
        <v>103.8</v>
      </c>
      <c r="Y70" s="487">
        <v>103.5</v>
      </c>
      <c r="Z70" s="439"/>
      <c r="AA70" s="439"/>
      <c r="AB70" s="439"/>
      <c r="AC70" s="439"/>
      <c r="AD70" s="439"/>
      <c r="AE70" s="439"/>
      <c r="AF70" s="439"/>
      <c r="AG70" s="439"/>
      <c r="AH70" s="439"/>
      <c r="AI70" s="439"/>
      <c r="AJ70" s="439"/>
      <c r="AK70" s="439"/>
      <c r="AL70" s="439"/>
      <c r="AM70" s="439"/>
      <c r="AN70" s="354">
        <f t="shared" si="0"/>
        <v>-4.2000000000000028</v>
      </c>
      <c r="AO70" s="355">
        <f t="shared" si="1"/>
        <v>-3.7069726390114743E-2</v>
      </c>
    </row>
    <row r="71" spans="1:41" ht="42" hidden="1" x14ac:dyDescent="0.2">
      <c r="A71" s="260" t="s">
        <v>651</v>
      </c>
      <c r="B71" s="261" t="s">
        <v>345</v>
      </c>
      <c r="C71" s="282">
        <v>1</v>
      </c>
      <c r="D71" s="293"/>
      <c r="E71" s="293"/>
      <c r="F71" s="293"/>
      <c r="G71" s="294" t="s">
        <v>705</v>
      </c>
      <c r="H71" s="280"/>
      <c r="I71" s="280"/>
      <c r="J71" s="280"/>
      <c r="K71" s="280"/>
      <c r="L71" s="281"/>
      <c r="M71" s="281"/>
      <c r="N71" s="281"/>
      <c r="O71" s="281"/>
      <c r="P71" s="313"/>
      <c r="Q71" s="313"/>
      <c r="R71" s="313"/>
      <c r="S71" s="313"/>
      <c r="T71" s="313"/>
      <c r="U71" s="313"/>
      <c r="V71" s="313"/>
      <c r="W71" s="313"/>
      <c r="X71" s="313"/>
      <c r="Y71" s="313"/>
      <c r="AN71" s="316">
        <f t="shared" si="0"/>
        <v>0</v>
      </c>
      <c r="AO71" s="323" t="e">
        <f t="shared" si="1"/>
        <v>#DIV/0!</v>
      </c>
    </row>
    <row r="72" spans="1:41" ht="21" hidden="1" x14ac:dyDescent="0.2">
      <c r="A72" s="263" t="s">
        <v>969</v>
      </c>
      <c r="B72" s="283" t="s">
        <v>962</v>
      </c>
      <c r="C72" s="282"/>
      <c r="D72" s="293"/>
      <c r="E72" s="293"/>
      <c r="F72" s="293"/>
      <c r="G72" s="294"/>
      <c r="H72" s="280"/>
      <c r="I72" s="280"/>
      <c r="J72" s="280"/>
      <c r="K72" s="280"/>
      <c r="L72" s="281"/>
      <c r="M72" s="281"/>
      <c r="N72" s="281"/>
      <c r="O72" s="281"/>
      <c r="P72" s="313"/>
      <c r="Q72" s="313"/>
      <c r="R72" s="313"/>
      <c r="S72" s="313"/>
      <c r="T72" s="313"/>
      <c r="U72" s="313"/>
      <c r="V72" s="313"/>
      <c r="W72" s="313"/>
      <c r="X72" s="313"/>
      <c r="Y72" s="313"/>
      <c r="AN72" s="316"/>
      <c r="AO72" s="323"/>
    </row>
    <row r="73" spans="1:41" s="288" customFormat="1" ht="21" hidden="1" x14ac:dyDescent="0.2">
      <c r="A73" s="263" t="s">
        <v>652</v>
      </c>
      <c r="B73" s="283" t="s">
        <v>898</v>
      </c>
      <c r="C73" s="284">
        <v>1</v>
      </c>
      <c r="D73" s="299"/>
      <c r="E73" s="299"/>
      <c r="F73" s="299"/>
      <c r="G73" s="300" t="s">
        <v>704</v>
      </c>
      <c r="H73" s="287"/>
      <c r="I73" s="287"/>
      <c r="J73" s="287"/>
      <c r="K73" s="287"/>
      <c r="L73" s="319"/>
      <c r="M73" s="319"/>
      <c r="N73" s="319"/>
      <c r="O73" s="319"/>
      <c r="P73" s="324"/>
      <c r="Q73" s="324"/>
      <c r="R73" s="324"/>
      <c r="S73" s="324"/>
      <c r="T73" s="324"/>
      <c r="U73" s="324"/>
      <c r="V73" s="324"/>
      <c r="W73" s="324"/>
      <c r="X73" s="324"/>
      <c r="Y73" s="324"/>
      <c r="Z73" s="481"/>
      <c r="AA73" s="481"/>
      <c r="AB73" s="481"/>
      <c r="AC73" s="481"/>
      <c r="AD73" s="481"/>
      <c r="AE73" s="481"/>
      <c r="AF73" s="481"/>
      <c r="AG73" s="481"/>
      <c r="AH73" s="481"/>
      <c r="AI73" s="481"/>
      <c r="AJ73" s="481"/>
      <c r="AK73" s="481"/>
      <c r="AL73" s="481"/>
      <c r="AM73" s="481"/>
      <c r="AN73" s="330">
        <f t="shared" si="0"/>
        <v>0</v>
      </c>
      <c r="AO73" s="331" t="e">
        <f t="shared" si="1"/>
        <v>#DIV/0!</v>
      </c>
    </row>
    <row r="74" spans="1:41" s="288" customFormat="1" ht="21" hidden="1" x14ac:dyDescent="0.2">
      <c r="A74" s="263" t="s">
        <v>342</v>
      </c>
      <c r="B74" s="283" t="s">
        <v>898</v>
      </c>
      <c r="C74" s="284">
        <v>1</v>
      </c>
      <c r="D74" s="299"/>
      <c r="E74" s="299"/>
      <c r="F74" s="299"/>
      <c r="G74" s="300" t="s">
        <v>706</v>
      </c>
      <c r="H74" s="287"/>
      <c r="I74" s="287"/>
      <c r="J74" s="287"/>
      <c r="K74" s="287"/>
      <c r="L74" s="319"/>
      <c r="M74" s="319"/>
      <c r="N74" s="319"/>
      <c r="O74" s="319"/>
      <c r="P74" s="324"/>
      <c r="Q74" s="324"/>
      <c r="R74" s="324"/>
      <c r="S74" s="324"/>
      <c r="T74" s="324"/>
      <c r="U74" s="324"/>
      <c r="V74" s="324"/>
      <c r="W74" s="324"/>
      <c r="X74" s="324"/>
      <c r="Y74" s="324"/>
      <c r="Z74" s="481"/>
      <c r="AA74" s="481"/>
      <c r="AB74" s="481"/>
      <c r="AC74" s="481"/>
      <c r="AD74" s="481"/>
      <c r="AE74" s="481"/>
      <c r="AF74" s="481"/>
      <c r="AG74" s="481"/>
      <c r="AH74" s="481"/>
      <c r="AI74" s="481"/>
      <c r="AJ74" s="481"/>
      <c r="AK74" s="481"/>
      <c r="AL74" s="481"/>
      <c r="AM74" s="481"/>
      <c r="AN74" s="330">
        <f t="shared" si="0"/>
        <v>0</v>
      </c>
      <c r="AO74" s="331" t="e">
        <f t="shared" si="1"/>
        <v>#DIV/0!</v>
      </c>
    </row>
    <row r="75" spans="1:41" ht="42" x14ac:dyDescent="0.2">
      <c r="A75" s="260" t="s">
        <v>942</v>
      </c>
      <c r="B75" s="261" t="s">
        <v>345</v>
      </c>
      <c r="C75" s="282">
        <v>1</v>
      </c>
      <c r="D75" s="293"/>
      <c r="E75" s="293"/>
      <c r="F75" s="293"/>
      <c r="G75" s="294" t="s">
        <v>705</v>
      </c>
      <c r="H75" s="280"/>
      <c r="I75" s="280"/>
      <c r="J75" s="280"/>
      <c r="K75" s="280"/>
      <c r="L75" s="427">
        <v>8.1</v>
      </c>
      <c r="M75" s="427">
        <v>4</v>
      </c>
      <c r="N75" s="427">
        <v>4.0999999999999996</v>
      </c>
      <c r="O75" s="427">
        <v>1.3</v>
      </c>
      <c r="P75" s="427">
        <v>4.5</v>
      </c>
      <c r="Q75" s="427">
        <v>5.4</v>
      </c>
      <c r="R75" s="428">
        <f>Q75*R77/100</f>
        <v>5.4540000000000006</v>
      </c>
      <c r="S75" s="313">
        <f>R75*S77/100*S78/100</f>
        <v>11.856341686460205</v>
      </c>
      <c r="T75" s="313">
        <f>S75*T77/100*T78/100</f>
        <v>17.022037977174982</v>
      </c>
      <c r="U75" s="313">
        <f>S75*U77/100*U78/100</f>
        <v>17.192258356946731</v>
      </c>
      <c r="V75" s="313">
        <f>T75*V77/100*V78/100</f>
        <v>24.222673550486853</v>
      </c>
      <c r="W75" s="313">
        <f>U75*W77/100*W78/100</f>
        <v>24.709549288851637</v>
      </c>
      <c r="X75" s="313">
        <f>V75*X77/100*X78/100</f>
        <v>37.019987045940631</v>
      </c>
      <c r="Y75" s="313">
        <f>W75*Y77/100*Y78/100</f>
        <v>38.141729673419675</v>
      </c>
      <c r="AN75" s="316">
        <f t="shared" si="0"/>
        <v>0.90000000000000036</v>
      </c>
      <c r="AO75" s="323">
        <f t="shared" si="1"/>
        <v>0.20000000000000018</v>
      </c>
    </row>
    <row r="76" spans="1:41" ht="18" x14ac:dyDescent="0.2">
      <c r="A76" s="347" t="s">
        <v>970</v>
      </c>
      <c r="B76" s="283" t="s">
        <v>962</v>
      </c>
      <c r="C76" s="282"/>
      <c r="D76" s="293"/>
      <c r="E76" s="293"/>
      <c r="F76" s="293"/>
      <c r="G76" s="294"/>
      <c r="H76" s="280"/>
      <c r="I76" s="280"/>
      <c r="J76" s="280"/>
      <c r="K76" s="280"/>
      <c r="L76" s="427"/>
      <c r="M76" s="427"/>
      <c r="N76" s="485">
        <f t="shared" ref="N76:T76" si="18">N75/M75-M75/L75</f>
        <v>0.53117283950617278</v>
      </c>
      <c r="O76" s="485">
        <f t="shared" si="18"/>
        <v>-0.70792682926829253</v>
      </c>
      <c r="P76" s="485">
        <f t="shared" si="18"/>
        <v>3.1444652908067541</v>
      </c>
      <c r="Q76" s="485">
        <f t="shared" si="18"/>
        <v>-2.2615384615384611</v>
      </c>
      <c r="R76" s="485">
        <f t="shared" si="18"/>
        <v>-0.19000000000000017</v>
      </c>
      <c r="S76" s="485">
        <f t="shared" si="18"/>
        <v>1.1638800305207562</v>
      </c>
      <c r="T76" s="485">
        <f t="shared" si="18"/>
        <v>-0.7381894585617903</v>
      </c>
      <c r="U76" s="485">
        <f>U75/S75-S75/R75</f>
        <v>-0.72383255284220072</v>
      </c>
      <c r="V76" s="485">
        <f>V75/T75-T75/S75</f>
        <v>-1.2672154131013968E-2</v>
      </c>
      <c r="W76" s="485">
        <f>W75/U75-U75/S75</f>
        <v>-1.2798875672324073E-2</v>
      </c>
      <c r="X76" s="485">
        <f>X75/V75-V75/T75</f>
        <v>0.10530119432305951</v>
      </c>
      <c r="Y76" s="485">
        <f>Y75/W75-W75/U75</f>
        <v>0.10635420626629011</v>
      </c>
      <c r="AN76" s="316"/>
      <c r="AO76" s="323"/>
    </row>
    <row r="77" spans="1:41" s="356" customFormat="1" ht="18" x14ac:dyDescent="0.2">
      <c r="A77" s="347" t="s">
        <v>943</v>
      </c>
      <c r="B77" s="283" t="s">
        <v>898</v>
      </c>
      <c r="C77" s="348">
        <v>1</v>
      </c>
      <c r="D77" s="349"/>
      <c r="E77" s="349"/>
      <c r="F77" s="349"/>
      <c r="G77" s="350" t="s">
        <v>704</v>
      </c>
      <c r="H77" s="351"/>
      <c r="I77" s="351"/>
      <c r="J77" s="351"/>
      <c r="K77" s="351"/>
      <c r="L77" s="352">
        <v>25.4</v>
      </c>
      <c r="M77" s="353">
        <f>M75/L75/(M78/100)*100</f>
        <v>44.488933377822264</v>
      </c>
      <c r="N77" s="353">
        <f>N75/M75/(N78/100)*100</f>
        <v>92.342342342342334</v>
      </c>
      <c r="O77" s="353">
        <f>O75/N75/(O78/100)*100</f>
        <v>28.565150516370032</v>
      </c>
      <c r="P77" s="353">
        <f>P75/O75/(P78/100)*100</f>
        <v>311.85031185031181</v>
      </c>
      <c r="Q77" s="353">
        <f>Q75/P75/(Q78/100)*100</f>
        <v>124.35233160621763</v>
      </c>
      <c r="R77" s="388">
        <v>101</v>
      </c>
      <c r="S77" s="353">
        <f>AVERAGE(P77:Q77,R77)</f>
        <v>179.06754781884317</v>
      </c>
      <c r="T77" s="353">
        <f>AVERAGE(Q77,R77,S77)</f>
        <v>134.80662647502027</v>
      </c>
      <c r="U77" s="353">
        <f>T77*1.01</f>
        <v>136.15469273977047</v>
      </c>
      <c r="V77" s="353">
        <f>AVERAGE(R77,S77,T77)</f>
        <v>138.29139143128782</v>
      </c>
      <c r="W77" s="353">
        <f>V77*1.01</f>
        <v>139.67430534560069</v>
      </c>
      <c r="X77" s="353">
        <f>AVERAGE(S77,T77,V77)</f>
        <v>150.72185524171709</v>
      </c>
      <c r="Y77" s="353">
        <f>X77*1.01</f>
        <v>152.22907379413428</v>
      </c>
      <c r="Z77" s="439"/>
      <c r="AA77" s="439"/>
      <c r="AB77" s="439"/>
      <c r="AC77" s="439"/>
      <c r="AD77" s="439"/>
      <c r="AE77" s="439"/>
      <c r="AF77" s="439"/>
      <c r="AG77" s="439"/>
      <c r="AH77" s="439"/>
      <c r="AI77" s="439"/>
      <c r="AJ77" s="439"/>
      <c r="AK77" s="439"/>
      <c r="AL77" s="439"/>
      <c r="AM77" s="439"/>
      <c r="AN77" s="354">
        <f t="shared" si="0"/>
        <v>-187.49798024409418</v>
      </c>
      <c r="AO77" s="355">
        <f t="shared" si="1"/>
        <v>-0.60124352331606201</v>
      </c>
    </row>
    <row r="78" spans="1:41" s="356" customFormat="1" ht="18" x14ac:dyDescent="0.2">
      <c r="A78" s="347" t="s">
        <v>944</v>
      </c>
      <c r="B78" s="283" t="s">
        <v>898</v>
      </c>
      <c r="C78" s="348">
        <v>1</v>
      </c>
      <c r="D78" s="349"/>
      <c r="E78" s="349"/>
      <c r="F78" s="349"/>
      <c r="G78" s="350" t="s">
        <v>706</v>
      </c>
      <c r="H78" s="351"/>
      <c r="I78" s="351"/>
      <c r="J78" s="351"/>
      <c r="K78" s="351"/>
      <c r="L78" s="352">
        <v>111</v>
      </c>
      <c r="M78" s="352">
        <v>111</v>
      </c>
      <c r="N78" s="352">
        <v>111</v>
      </c>
      <c r="O78" s="352">
        <v>111</v>
      </c>
      <c r="P78" s="352">
        <v>111</v>
      </c>
      <c r="Q78" s="487">
        <v>96.5</v>
      </c>
      <c r="R78" s="487">
        <v>106.9</v>
      </c>
      <c r="S78" s="487">
        <v>121.4</v>
      </c>
      <c r="T78" s="487">
        <v>106.5</v>
      </c>
      <c r="U78" s="487">
        <f>T78</f>
        <v>106.5</v>
      </c>
      <c r="V78" s="487">
        <v>102.9</v>
      </c>
      <c r="W78" s="487">
        <f>V78</f>
        <v>102.9</v>
      </c>
      <c r="X78" s="487">
        <v>101.4</v>
      </c>
      <c r="Y78" s="487">
        <f>X78</f>
        <v>101.4</v>
      </c>
      <c r="Z78" s="439"/>
      <c r="AA78" s="439"/>
      <c r="AB78" s="439"/>
      <c r="AC78" s="439"/>
      <c r="AD78" s="439"/>
      <c r="AE78" s="439"/>
      <c r="AF78" s="439"/>
      <c r="AG78" s="439"/>
      <c r="AH78" s="439"/>
      <c r="AI78" s="439"/>
      <c r="AJ78" s="439"/>
      <c r="AK78" s="439"/>
      <c r="AL78" s="439"/>
      <c r="AM78" s="439"/>
      <c r="AN78" s="354">
        <f t="shared" si="0"/>
        <v>-14.5</v>
      </c>
      <c r="AO78" s="355">
        <f t="shared" si="1"/>
        <v>-0.13063063063063063</v>
      </c>
    </row>
    <row r="79" spans="1:41" ht="52.5" hidden="1" x14ac:dyDescent="0.2">
      <c r="A79" s="260" t="s">
        <v>945</v>
      </c>
      <c r="B79" s="261" t="s">
        <v>345</v>
      </c>
      <c r="C79" s="282">
        <v>1</v>
      </c>
      <c r="D79" s="293"/>
      <c r="E79" s="293"/>
      <c r="F79" s="293"/>
      <c r="G79" s="294" t="s">
        <v>705</v>
      </c>
      <c r="H79" s="280"/>
      <c r="I79" s="280"/>
      <c r="J79" s="280"/>
      <c r="K79" s="280"/>
      <c r="L79" s="281">
        <v>2.9</v>
      </c>
      <c r="M79" s="281">
        <v>0.1</v>
      </c>
      <c r="N79" s="281">
        <v>0.3</v>
      </c>
      <c r="O79" s="281"/>
      <c r="P79" s="313"/>
      <c r="Q79" s="313"/>
      <c r="R79" s="313"/>
      <c r="S79" s="313"/>
      <c r="T79" s="313"/>
      <c r="U79" s="313"/>
      <c r="V79" s="313"/>
      <c r="W79" s="313"/>
      <c r="X79" s="313"/>
      <c r="Y79" s="313"/>
      <c r="AN79" s="316">
        <f t="shared" si="0"/>
        <v>0</v>
      </c>
      <c r="AO79" s="323" t="e">
        <f t="shared" si="1"/>
        <v>#DIV/0!</v>
      </c>
    </row>
    <row r="80" spans="1:41" ht="31.5" hidden="1" x14ac:dyDescent="0.2">
      <c r="A80" s="263" t="s">
        <v>971</v>
      </c>
      <c r="B80" s="283" t="s">
        <v>962</v>
      </c>
      <c r="C80" s="282"/>
      <c r="D80" s="293"/>
      <c r="E80" s="293"/>
      <c r="F80" s="293"/>
      <c r="G80" s="294"/>
      <c r="H80" s="280"/>
      <c r="I80" s="280"/>
      <c r="J80" s="280"/>
      <c r="K80" s="280"/>
      <c r="L80" s="281"/>
      <c r="M80" s="281"/>
      <c r="N80" s="281"/>
      <c r="O80" s="281"/>
      <c r="P80" s="313"/>
      <c r="Q80" s="313"/>
      <c r="R80" s="313"/>
      <c r="S80" s="313"/>
      <c r="T80" s="313"/>
      <c r="U80" s="313"/>
      <c r="V80" s="313"/>
      <c r="W80" s="313"/>
      <c r="X80" s="313"/>
      <c r="Y80" s="313"/>
      <c r="AN80" s="316"/>
      <c r="AO80" s="323"/>
    </row>
    <row r="81" spans="1:52" s="288" customFormat="1" ht="31.5" hidden="1" x14ac:dyDescent="0.2">
      <c r="A81" s="263" t="s">
        <v>946</v>
      </c>
      <c r="B81" s="283" t="s">
        <v>898</v>
      </c>
      <c r="C81" s="284">
        <v>1</v>
      </c>
      <c r="D81" s="299"/>
      <c r="E81" s="299"/>
      <c r="F81" s="299"/>
      <c r="G81" s="300" t="s">
        <v>704</v>
      </c>
      <c r="H81" s="287"/>
      <c r="I81" s="287"/>
      <c r="J81" s="287"/>
      <c r="K81" s="287"/>
      <c r="L81" s="319">
        <v>90.1</v>
      </c>
      <c r="M81" s="319"/>
      <c r="N81" s="319"/>
      <c r="O81" s="319"/>
      <c r="P81" s="324"/>
      <c r="Q81" s="324"/>
      <c r="R81" s="324"/>
      <c r="S81" s="324"/>
      <c r="T81" s="324"/>
      <c r="U81" s="324"/>
      <c r="V81" s="324"/>
      <c r="W81" s="324"/>
      <c r="X81" s="324"/>
      <c r="Y81" s="324"/>
      <c r="Z81" s="481"/>
      <c r="AA81" s="481"/>
      <c r="AB81" s="481"/>
      <c r="AC81" s="481"/>
      <c r="AD81" s="481"/>
      <c r="AE81" s="481"/>
      <c r="AF81" s="481"/>
      <c r="AG81" s="481"/>
      <c r="AH81" s="481"/>
      <c r="AI81" s="481"/>
      <c r="AJ81" s="481"/>
      <c r="AK81" s="481"/>
      <c r="AL81" s="481"/>
      <c r="AM81" s="481"/>
      <c r="AN81" s="330">
        <f t="shared" si="0"/>
        <v>0</v>
      </c>
      <c r="AO81" s="331" t="e">
        <f t="shared" si="1"/>
        <v>#DIV/0!</v>
      </c>
    </row>
    <row r="82" spans="1:52" s="288" customFormat="1" ht="31.5" hidden="1" x14ac:dyDescent="0.2">
      <c r="A82" s="263" t="s">
        <v>947</v>
      </c>
      <c r="B82" s="283" t="s">
        <v>898</v>
      </c>
      <c r="C82" s="284">
        <v>1</v>
      </c>
      <c r="D82" s="299"/>
      <c r="E82" s="299"/>
      <c r="F82" s="299"/>
      <c r="G82" s="300" t="s">
        <v>706</v>
      </c>
      <c r="H82" s="287"/>
      <c r="I82" s="287"/>
      <c r="J82" s="287"/>
      <c r="K82" s="287"/>
      <c r="L82" s="319">
        <v>111</v>
      </c>
      <c r="M82" s="319"/>
      <c r="N82" s="319"/>
      <c r="O82" s="319"/>
      <c r="P82" s="324"/>
      <c r="Q82" s="324"/>
      <c r="R82" s="324"/>
      <c r="S82" s="324"/>
      <c r="T82" s="324"/>
      <c r="U82" s="324"/>
      <c r="V82" s="324"/>
      <c r="W82" s="324"/>
      <c r="X82" s="324"/>
      <c r="Y82" s="324"/>
      <c r="Z82" s="481"/>
      <c r="AA82" s="481"/>
      <c r="AB82" s="481"/>
      <c r="AC82" s="481"/>
      <c r="AD82" s="481"/>
      <c r="AE82" s="481"/>
      <c r="AF82" s="481"/>
      <c r="AG82" s="481"/>
      <c r="AH82" s="481"/>
      <c r="AI82" s="481"/>
      <c r="AJ82" s="481"/>
      <c r="AK82" s="481"/>
      <c r="AL82" s="481"/>
      <c r="AM82" s="481"/>
      <c r="AN82" s="330">
        <f t="shared" si="0"/>
        <v>0</v>
      </c>
      <c r="AO82" s="331" t="e">
        <f t="shared" si="1"/>
        <v>#DIV/0!</v>
      </c>
    </row>
    <row r="83" spans="1:52" ht="52.5" x14ac:dyDescent="0.2">
      <c r="A83" s="260" t="s">
        <v>948</v>
      </c>
      <c r="B83" s="261" t="s">
        <v>345</v>
      </c>
      <c r="C83" s="282">
        <v>1</v>
      </c>
      <c r="D83" s="293"/>
      <c r="E83" s="293"/>
      <c r="F83" s="293"/>
      <c r="G83" s="294" t="s">
        <v>705</v>
      </c>
      <c r="H83" s="280"/>
      <c r="I83" s="280"/>
      <c r="J83" s="280"/>
      <c r="K83" s="280"/>
      <c r="L83" s="427">
        <v>462.7</v>
      </c>
      <c r="M83" s="427">
        <v>477.8</v>
      </c>
      <c r="N83" s="427">
        <v>392.4</v>
      </c>
      <c r="O83" s="427">
        <v>360</v>
      </c>
      <c r="P83" s="427">
        <v>230.7</v>
      </c>
      <c r="Q83" s="427">
        <v>159.6</v>
      </c>
      <c r="R83" s="428">
        <f>Q83*R85/100</f>
        <v>24.418800000000001</v>
      </c>
      <c r="S83" s="313">
        <f>R83*S85/100*S86/100</f>
        <v>11.39929197729934</v>
      </c>
      <c r="T83" s="313">
        <f>S83*T85/100*T86/100</f>
        <v>5.1090957878418291</v>
      </c>
      <c r="U83" s="313">
        <f>S83*U85/100*U86/100</f>
        <v>5.1987315580132103</v>
      </c>
      <c r="V83" s="313">
        <f>T83*V85/100*V86/100</f>
        <v>1.8742839140531087</v>
      </c>
      <c r="W83" s="313">
        <f>U83*W85/100*W86/100</f>
        <v>1.9316954459401359</v>
      </c>
      <c r="X83" s="313">
        <f>V83*X85/100*X86/100</f>
        <v>0.81863293159283723</v>
      </c>
      <c r="Y83" s="313">
        <f>W83*Y85/100*Y86/100</f>
        <v>0.85214571225722824</v>
      </c>
      <c r="AN83" s="316">
        <f t="shared" si="0"/>
        <v>-71.099999999999994</v>
      </c>
      <c r="AO83" s="323">
        <f t="shared" si="1"/>
        <v>-0.30819245773732118</v>
      </c>
    </row>
    <row r="84" spans="1:52" ht="27" x14ac:dyDescent="0.2">
      <c r="A84" s="347" t="s">
        <v>972</v>
      </c>
      <c r="B84" s="283" t="s">
        <v>962</v>
      </c>
      <c r="C84" s="282"/>
      <c r="D84" s="293"/>
      <c r="E84" s="293"/>
      <c r="F84" s="293"/>
      <c r="G84" s="294"/>
      <c r="H84" s="280"/>
      <c r="I84" s="280"/>
      <c r="J84" s="280"/>
      <c r="K84" s="280"/>
      <c r="L84" s="427"/>
      <c r="M84" s="427"/>
      <c r="N84" s="485">
        <f t="shared" ref="N84:T84" si="19">N83/M83-M83/L83</f>
        <v>-0.2113704091667894</v>
      </c>
      <c r="O84" s="485">
        <f t="shared" si="19"/>
        <v>9.6167065410655228E-2</v>
      </c>
      <c r="P84" s="485">
        <f t="shared" si="19"/>
        <v>-0.27659785932721725</v>
      </c>
      <c r="Q84" s="485">
        <f t="shared" si="19"/>
        <v>5.0974208929345566E-2</v>
      </c>
      <c r="R84" s="485">
        <f t="shared" si="19"/>
        <v>-0.5388075422626788</v>
      </c>
      <c r="S84" s="485">
        <f t="shared" si="19"/>
        <v>0.31382441304647807</v>
      </c>
      <c r="T84" s="485">
        <f t="shared" si="19"/>
        <v>-1.8630279760294022E-2</v>
      </c>
      <c r="U84" s="485">
        <f>U83/S83-S83/R83</f>
        <v>-1.0767004536720248E-2</v>
      </c>
      <c r="V84" s="485">
        <f>V83/T83-T83/S83</f>
        <v>-8.134176020808237E-2</v>
      </c>
      <c r="W84" s="485">
        <f>W83/U83-U83/S83</f>
        <v>-8.4486877432294716E-2</v>
      </c>
      <c r="X84" s="485">
        <f>X83/V83-V83/T83</f>
        <v>6.9918665426175253E-2</v>
      </c>
      <c r="Y84" s="485">
        <f>Y83/W83-W83/U83</f>
        <v>6.9568217811856681E-2</v>
      </c>
      <c r="AN84" s="316"/>
      <c r="AO84" s="323"/>
    </row>
    <row r="85" spans="1:52" s="356" customFormat="1" ht="27" x14ac:dyDescent="0.2">
      <c r="A85" s="347" t="s">
        <v>949</v>
      </c>
      <c r="B85" s="283" t="s">
        <v>898</v>
      </c>
      <c r="C85" s="348">
        <v>1</v>
      </c>
      <c r="D85" s="349"/>
      <c r="E85" s="349"/>
      <c r="F85" s="349"/>
      <c r="G85" s="350" t="s">
        <v>704</v>
      </c>
      <c r="H85" s="351"/>
      <c r="I85" s="351"/>
      <c r="J85" s="351"/>
      <c r="K85" s="351"/>
      <c r="L85" s="352">
        <v>70.900000000000006</v>
      </c>
      <c r="M85" s="353">
        <f>M83/L83/(M86/100)*100</f>
        <v>99.196401192765109</v>
      </c>
      <c r="N85" s="353">
        <f>N83/M83/(N86/100)*100</f>
        <v>78.891846998068715</v>
      </c>
      <c r="O85" s="353">
        <f>O83/N83/(O86/100)*100</f>
        <v>88.129797565855</v>
      </c>
      <c r="P85" s="353">
        <f>P83/O83/(P86/100)*100</f>
        <v>61.559398014729425</v>
      </c>
      <c r="Q85" s="353">
        <f>Q83/P83/(Q86/100)*100</f>
        <v>63.468581858961358</v>
      </c>
      <c r="R85" s="388">
        <v>15.3</v>
      </c>
      <c r="S85" s="353">
        <f>AVERAGE(P85:Q85,R85)</f>
        <v>46.775993291230265</v>
      </c>
      <c r="T85" s="353">
        <f>AVERAGE(Q85,R85,S85)</f>
        <v>41.84819171673054</v>
      </c>
      <c r="U85" s="353">
        <f>T85*1.01</f>
        <v>42.266673633897845</v>
      </c>
      <c r="V85" s="353">
        <f>AVERAGE(R85,S85,T85)</f>
        <v>34.641395002653603</v>
      </c>
      <c r="W85" s="353">
        <f>V85*1.01</f>
        <v>34.98780895268014</v>
      </c>
      <c r="X85" s="353">
        <f>AVERAGE(S85,T85,V85)</f>
        <v>41.0885266702048</v>
      </c>
      <c r="Y85" s="353">
        <f>X85*1.01</f>
        <v>41.499411936906846</v>
      </c>
      <c r="Z85" s="439"/>
      <c r="AA85" s="439"/>
      <c r="AB85" s="439"/>
      <c r="AC85" s="439"/>
      <c r="AD85" s="439"/>
      <c r="AE85" s="439"/>
      <c r="AF85" s="439"/>
      <c r="AG85" s="439"/>
      <c r="AH85" s="439"/>
      <c r="AI85" s="439"/>
      <c r="AJ85" s="439"/>
      <c r="AK85" s="439"/>
      <c r="AL85" s="439"/>
      <c r="AM85" s="439"/>
      <c r="AN85" s="354">
        <f t="shared" si="0"/>
        <v>1.9091838442319329</v>
      </c>
      <c r="AO85" s="355">
        <f t="shared" si="1"/>
        <v>3.1013686062607571E-2</v>
      </c>
    </row>
    <row r="86" spans="1:52" s="356" customFormat="1" ht="18" x14ac:dyDescent="0.2">
      <c r="A86" s="347" t="s">
        <v>950</v>
      </c>
      <c r="B86" s="283" t="s">
        <v>898</v>
      </c>
      <c r="C86" s="348">
        <v>1</v>
      </c>
      <c r="D86" s="349"/>
      <c r="E86" s="349"/>
      <c r="F86" s="349"/>
      <c r="G86" s="350" t="s">
        <v>706</v>
      </c>
      <c r="H86" s="351"/>
      <c r="I86" s="351"/>
      <c r="J86" s="351"/>
      <c r="K86" s="351"/>
      <c r="L86" s="352">
        <v>104.1</v>
      </c>
      <c r="M86" s="352">
        <v>104.1</v>
      </c>
      <c r="N86" s="352">
        <v>104.1</v>
      </c>
      <c r="O86" s="352">
        <v>104.1</v>
      </c>
      <c r="P86" s="352">
        <v>104.1</v>
      </c>
      <c r="Q86" s="487">
        <v>109</v>
      </c>
      <c r="R86" s="487">
        <v>100.6</v>
      </c>
      <c r="S86" s="487">
        <v>99.8</v>
      </c>
      <c r="T86" s="487">
        <v>107.1</v>
      </c>
      <c r="U86" s="487">
        <v>107.9</v>
      </c>
      <c r="V86" s="487">
        <v>105.9</v>
      </c>
      <c r="W86" s="487">
        <v>106.2</v>
      </c>
      <c r="X86" s="487">
        <v>106.3</v>
      </c>
      <c r="Y86" s="487">
        <v>106.3</v>
      </c>
      <c r="Z86" s="439"/>
      <c r="AA86" s="439"/>
      <c r="AB86" s="439"/>
      <c r="AC86" s="439"/>
      <c r="AD86" s="439"/>
      <c r="AE86" s="439"/>
      <c r="AF86" s="439"/>
      <c r="AG86" s="439"/>
      <c r="AH86" s="439"/>
      <c r="AI86" s="439"/>
      <c r="AJ86" s="439"/>
      <c r="AK86" s="439"/>
      <c r="AL86" s="439"/>
      <c r="AM86" s="439"/>
      <c r="AN86" s="354">
        <f t="shared" si="0"/>
        <v>4.9000000000000057</v>
      </c>
      <c r="AO86" s="355">
        <f t="shared" si="1"/>
        <v>4.7070124879923236E-2</v>
      </c>
    </row>
    <row r="87" spans="1:52" ht="63" x14ac:dyDescent="0.2">
      <c r="A87" s="260" t="s">
        <v>0</v>
      </c>
      <c r="B87" s="261" t="s">
        <v>615</v>
      </c>
      <c r="C87" s="282">
        <v>1</v>
      </c>
      <c r="D87" s="293"/>
      <c r="E87" s="293"/>
      <c r="F87" s="293"/>
      <c r="G87" s="294" t="s">
        <v>705</v>
      </c>
      <c r="H87" s="280"/>
      <c r="I87" s="280"/>
      <c r="J87" s="280"/>
      <c r="K87" s="280"/>
      <c r="L87" s="427">
        <v>28328</v>
      </c>
      <c r="M87" s="488">
        <v>27034.400000000001</v>
      </c>
      <c r="N87" s="488">
        <v>31543</v>
      </c>
      <c r="O87" s="488">
        <v>35488.9</v>
      </c>
      <c r="P87" s="488">
        <v>38950.199999999997</v>
      </c>
      <c r="Q87" s="427">
        <v>40375.9</v>
      </c>
      <c r="R87" s="428">
        <f>Q87*R89/100</f>
        <v>42165.898233333333</v>
      </c>
      <c r="S87" s="489">
        <f>34292.951+34292.951/6+5385*1.05</f>
        <v>45662.692833333334</v>
      </c>
      <c r="T87" s="313">
        <f>S87*T89/100*T90/100</f>
        <v>44612.450898166673</v>
      </c>
      <c r="U87" s="313">
        <f>S87*U89/100*U90/100</f>
        <v>46442.154999998333</v>
      </c>
      <c r="V87" s="313">
        <f>T87*V89/100*V90/100</f>
        <v>41993.700030444284</v>
      </c>
      <c r="W87" s="313">
        <f>U87*W89/100*W90/100</f>
        <v>43645.060574157484</v>
      </c>
      <c r="X87" s="313">
        <f>V87*X89/100*X90/100</f>
        <v>40670.898479485288</v>
      </c>
      <c r="Y87" s="313">
        <f>W87*Y89/100*Y90/100</f>
        <v>40256.334555658468</v>
      </c>
      <c r="AN87" s="316">
        <f t="shared" si="0"/>
        <v>1425.7000000000044</v>
      </c>
      <c r="AO87" s="323">
        <f t="shared" si="1"/>
        <v>3.6603149662902901E-2</v>
      </c>
    </row>
    <row r="88" spans="1:52" ht="27" x14ac:dyDescent="0.2">
      <c r="A88" s="347" t="s">
        <v>973</v>
      </c>
      <c r="B88" s="283" t="s">
        <v>962</v>
      </c>
      <c r="C88" s="282"/>
      <c r="D88" s="293"/>
      <c r="E88" s="293"/>
      <c r="F88" s="293"/>
      <c r="G88" s="294"/>
      <c r="H88" s="280"/>
      <c r="I88" s="280"/>
      <c r="J88" s="280"/>
      <c r="K88" s="280"/>
      <c r="L88" s="427"/>
      <c r="M88" s="488"/>
      <c r="N88" s="485">
        <f t="shared" ref="N88:T88" si="20">N87/M87-M87/L87</f>
        <v>0.21243777077167136</v>
      </c>
      <c r="O88" s="485">
        <f t="shared" si="20"/>
        <v>-4.1676803572455512E-2</v>
      </c>
      <c r="P88" s="485">
        <f t="shared" si="20"/>
        <v>-2.7563996491861475E-2</v>
      </c>
      <c r="Q88" s="485">
        <f t="shared" si="20"/>
        <v>-6.0928754679018038E-2</v>
      </c>
      <c r="R88" s="485">
        <f t="shared" si="20"/>
        <v>7.730183670430435E-3</v>
      </c>
      <c r="S88" s="485">
        <f t="shared" si="20"/>
        <v>3.8596113127164156E-2</v>
      </c>
      <c r="T88" s="485">
        <f t="shared" si="20"/>
        <v>-0.1059294464604974</v>
      </c>
      <c r="U88" s="485">
        <f>U87/S87-S87/R87</f>
        <v>-6.5859446460497573E-2</v>
      </c>
      <c r="V88" s="485">
        <f>V87/T87-T87/S87</f>
        <v>-3.5700000000000176E-2</v>
      </c>
      <c r="W88" s="485">
        <f>W87/U87-U87/S87</f>
        <v>-7.7297489999999858E-2</v>
      </c>
      <c r="X88" s="485">
        <f>X87/V87-V87/T87</f>
        <v>2.7200000000000002E-2</v>
      </c>
      <c r="Y88" s="485">
        <f>Y87/W87-W87/U87</f>
        <v>-1.7415340000000112E-2</v>
      </c>
      <c r="AN88" s="316"/>
      <c r="AO88" s="323"/>
    </row>
    <row r="89" spans="1:52" s="356" customFormat="1" ht="27" x14ac:dyDescent="0.2">
      <c r="A89" s="347" t="s">
        <v>1</v>
      </c>
      <c r="B89" s="283" t="s">
        <v>898</v>
      </c>
      <c r="C89" s="348">
        <v>1</v>
      </c>
      <c r="D89" s="349"/>
      <c r="E89" s="349"/>
      <c r="F89" s="349"/>
      <c r="G89" s="350" t="s">
        <v>704</v>
      </c>
      <c r="H89" s="351"/>
      <c r="I89" s="351"/>
      <c r="J89" s="351"/>
      <c r="K89" s="351"/>
      <c r="L89" s="352">
        <v>100.7</v>
      </c>
      <c r="M89" s="387">
        <f>M87/L87/(M90/100)*100</f>
        <v>99.513548867003806</v>
      </c>
      <c r="N89" s="387">
        <f>N87/M87/(N90/100)*100</f>
        <v>101.72386263349938</v>
      </c>
      <c r="O89" s="387">
        <f>O87/N87/(O90/100)*100</f>
        <v>99.477975316868466</v>
      </c>
      <c r="P89" s="387">
        <f>P87/O87/(P90/100)*100</f>
        <v>100.41462985744931</v>
      </c>
      <c r="Q89" s="388">
        <v>98.6</v>
      </c>
      <c r="R89" s="388">
        <f>110.6-R90+100</f>
        <v>104.43333333333332</v>
      </c>
      <c r="S89" s="490">
        <v>98.1</v>
      </c>
      <c r="T89" s="490">
        <v>100</v>
      </c>
      <c r="U89" s="353">
        <f>T89*1.01</f>
        <v>101</v>
      </c>
      <c r="V89" s="490">
        <v>100</v>
      </c>
      <c r="W89" s="353">
        <v>100.9</v>
      </c>
      <c r="X89" s="490">
        <v>100</v>
      </c>
      <c r="Y89" s="353">
        <v>100.9</v>
      </c>
      <c r="Z89" s="439"/>
      <c r="AA89" s="439"/>
      <c r="AB89" s="439"/>
      <c r="AC89" s="439"/>
      <c r="AD89" s="439"/>
      <c r="AE89" s="439"/>
      <c r="AF89" s="439"/>
      <c r="AG89" s="439"/>
      <c r="AH89" s="439"/>
      <c r="AI89" s="439"/>
      <c r="AJ89" s="439"/>
      <c r="AK89" s="439"/>
      <c r="AL89" s="439"/>
      <c r="AM89" s="439"/>
      <c r="AN89" s="354">
        <f t="shared" si="0"/>
        <v>-1.8146298574493187</v>
      </c>
      <c r="AO89" s="355">
        <f t="shared" si="1"/>
        <v>-1.8071369281800864E-2</v>
      </c>
    </row>
    <row r="90" spans="1:52" s="356" customFormat="1" ht="27" x14ac:dyDescent="0.2">
      <c r="A90" s="347" t="s">
        <v>2</v>
      </c>
      <c r="B90" s="283" t="s">
        <v>898</v>
      </c>
      <c r="C90" s="348">
        <v>1</v>
      </c>
      <c r="D90" s="349"/>
      <c r="E90" s="349"/>
      <c r="F90" s="349"/>
      <c r="G90" s="350" t="s">
        <v>706</v>
      </c>
      <c r="H90" s="351"/>
      <c r="I90" s="351"/>
      <c r="J90" s="351"/>
      <c r="K90" s="351"/>
      <c r="L90" s="352">
        <v>111.5</v>
      </c>
      <c r="M90" s="386">
        <v>95.9</v>
      </c>
      <c r="N90" s="386">
        <v>114.7</v>
      </c>
      <c r="O90" s="386">
        <v>113.1</v>
      </c>
      <c r="P90" s="388">
        <v>109.3</v>
      </c>
      <c r="Q90" s="487">
        <v>96.1</v>
      </c>
      <c r="R90" s="353">
        <f>AVERAGE(O90:P90,Q90)</f>
        <v>106.16666666666667</v>
      </c>
      <c r="S90" s="353">
        <f>AVERAGE(P90:Q90,R90)</f>
        <v>103.85555555555555</v>
      </c>
      <c r="T90" s="491">
        <v>97.7</v>
      </c>
      <c r="U90" s="492">
        <v>100.7</v>
      </c>
      <c r="V90" s="492">
        <v>94.13</v>
      </c>
      <c r="W90" s="492">
        <v>93.138999999999996</v>
      </c>
      <c r="X90" s="492">
        <v>96.85</v>
      </c>
      <c r="Y90" s="492">
        <v>91.412999999999997</v>
      </c>
      <c r="Z90" s="439"/>
      <c r="AA90" s="439"/>
      <c r="AB90" s="439"/>
      <c r="AC90" s="439"/>
      <c r="AD90" s="439"/>
      <c r="AE90" s="439"/>
      <c r="AF90" s="439"/>
      <c r="AG90" s="439"/>
      <c r="AH90" s="439"/>
      <c r="AI90" s="439"/>
      <c r="AJ90" s="439"/>
      <c r="AK90" s="439"/>
      <c r="AL90" s="439"/>
      <c r="AM90" s="439"/>
      <c r="AN90" s="354">
        <f t="shared" si="0"/>
        <v>-13.200000000000003</v>
      </c>
      <c r="AO90" s="355">
        <f t="shared" si="1"/>
        <v>-0.12076852698993601</v>
      </c>
    </row>
    <row r="91" spans="1:52" ht="68.25" customHeight="1" x14ac:dyDescent="0.2">
      <c r="A91" s="260" t="s">
        <v>974</v>
      </c>
      <c r="B91" s="261" t="s">
        <v>345</v>
      </c>
      <c r="C91" s="282">
        <v>1</v>
      </c>
      <c r="D91" s="293"/>
      <c r="E91" s="293"/>
      <c r="F91" s="293"/>
      <c r="G91" s="294" t="s">
        <v>705</v>
      </c>
      <c r="H91" s="280"/>
      <c r="I91" s="280"/>
      <c r="J91" s="280"/>
      <c r="K91" s="280"/>
      <c r="L91" s="427">
        <v>2527.8000000000002</v>
      </c>
      <c r="M91" s="427">
        <v>1513.1</v>
      </c>
      <c r="N91" s="427">
        <v>2019.2</v>
      </c>
      <c r="O91" s="427">
        <v>3055.8</v>
      </c>
      <c r="P91" s="427">
        <v>3690.3</v>
      </c>
      <c r="Q91" s="427">
        <v>3955.7</v>
      </c>
      <c r="R91" s="428">
        <f>Q91*R93/100</f>
        <v>4608.3904999999995</v>
      </c>
      <c r="S91" s="313">
        <f>R91*S93/100*S94/100</f>
        <v>5917.3039169668928</v>
      </c>
      <c r="T91" s="313">
        <f>S91*T93/100*T94/100</f>
        <v>6753.3932199106966</v>
      </c>
      <c r="U91" s="313">
        <f>S91*U93/100*U94/100</f>
        <v>7100.7934379311037</v>
      </c>
      <c r="V91" s="313">
        <f>T91*V93/100*V94/100</f>
        <v>7901.436935180699</v>
      </c>
      <c r="W91" s="313">
        <f>U91*W93/100*W94/100</f>
        <v>8374.9438201672165</v>
      </c>
      <c r="X91" s="313">
        <f>V91*X93/100*X94/100</f>
        <v>9139.697618476137</v>
      </c>
      <c r="Y91" s="313">
        <f>W91*Y93/100*Y94/100</f>
        <v>9747.0099883337498</v>
      </c>
      <c r="AN91" s="316">
        <f t="shared" ref="AN91:AN147" si="21">Q91-P91</f>
        <v>265.39999999999964</v>
      </c>
      <c r="AO91" s="323">
        <f t="shared" ref="AO91:AO147" si="22">Q91/P91-100%</f>
        <v>7.191827222719005E-2</v>
      </c>
      <c r="AS91" s="267">
        <v>0.3</v>
      </c>
      <c r="AT91" s="267">
        <v>0.3</v>
      </c>
      <c r="AU91" s="267">
        <v>0.3</v>
      </c>
      <c r="AV91" s="267">
        <v>0.3</v>
      </c>
      <c r="AW91" s="267">
        <v>0.3</v>
      </c>
      <c r="AX91" s="267">
        <v>0.3</v>
      </c>
      <c r="AY91" s="267">
        <v>0.3</v>
      </c>
      <c r="AZ91" s="267">
        <v>0.3</v>
      </c>
    </row>
    <row r="92" spans="1:52" ht="31.5" customHeight="1" x14ac:dyDescent="0.2">
      <c r="A92" s="347" t="s">
        <v>975</v>
      </c>
      <c r="B92" s="283" t="s">
        <v>962</v>
      </c>
      <c r="C92" s="282"/>
      <c r="D92" s="293"/>
      <c r="E92" s="293"/>
      <c r="F92" s="293"/>
      <c r="G92" s="294"/>
      <c r="H92" s="280"/>
      <c r="I92" s="280"/>
      <c r="J92" s="280"/>
      <c r="K92" s="280"/>
      <c r="L92" s="427"/>
      <c r="M92" s="427"/>
      <c r="N92" s="485">
        <f t="shared" ref="N92:T92" si="23">N91/M91-M91/L91</f>
        <v>0.7358951356951936</v>
      </c>
      <c r="O92" s="485">
        <f t="shared" si="23"/>
        <v>0.17889274792014498</v>
      </c>
      <c r="P92" s="485">
        <f t="shared" si="23"/>
        <v>-0.30573369790984373</v>
      </c>
      <c r="Q92" s="485">
        <f t="shared" si="23"/>
        <v>-0.13571966219260179</v>
      </c>
      <c r="R92" s="485">
        <f t="shared" si="23"/>
        <v>9.3081727772809986E-2</v>
      </c>
      <c r="S92" s="485">
        <f t="shared" si="23"/>
        <v>0.11902832116047746</v>
      </c>
      <c r="T92" s="485">
        <f t="shared" si="23"/>
        <v>-0.14273267120299327</v>
      </c>
      <c r="U92" s="485">
        <f>U91/S91-S91/R91</f>
        <v>-8.402346462932142E-2</v>
      </c>
      <c r="V92" s="485">
        <f>V91/T91-T91/S91</f>
        <v>2.8699444047301625E-2</v>
      </c>
      <c r="W92" s="485">
        <f>W91/U91-U91/S91</f>
        <v>-2.0567108711336157E-2</v>
      </c>
      <c r="X92" s="485">
        <f>X91/V91-V91/T91</f>
        <v>-1.3281740034680523E-2</v>
      </c>
      <c r="Y92" s="485">
        <f>Y91/W91-W91/U91</f>
        <v>-1.5607852643384268E-2</v>
      </c>
      <c r="AN92" s="316"/>
      <c r="AO92" s="323"/>
    </row>
    <row r="93" spans="1:52" s="356" customFormat="1" ht="27" x14ac:dyDescent="0.2">
      <c r="A93" s="347" t="s">
        <v>976</v>
      </c>
      <c r="B93" s="283" t="s">
        <v>898</v>
      </c>
      <c r="C93" s="348">
        <v>1</v>
      </c>
      <c r="D93" s="349"/>
      <c r="E93" s="349"/>
      <c r="F93" s="349"/>
      <c r="G93" s="350" t="s">
        <v>704</v>
      </c>
      <c r="H93" s="351"/>
      <c r="I93" s="351"/>
      <c r="J93" s="351"/>
      <c r="K93" s="351"/>
      <c r="L93" s="352">
        <v>127</v>
      </c>
      <c r="M93" s="387">
        <f>M91/L91/(M94/100)*100</f>
        <v>55.83803626066203</v>
      </c>
      <c r="N93" s="387">
        <f>N91/M91/(N94/100)*100</f>
        <v>124.4849705605868</v>
      </c>
      <c r="O93" s="387">
        <f>O91/N91/(O94/100)*100</f>
        <v>141.17272689642121</v>
      </c>
      <c r="P93" s="387">
        <f>P91/O91/(P94/100)*100</f>
        <v>112.65279238990595</v>
      </c>
      <c r="Q93" s="387">
        <f>Q91/P91/(Q94/100)*100</f>
        <v>100.36687942202154</v>
      </c>
      <c r="R93" s="388">
        <v>116.5</v>
      </c>
      <c r="S93" s="353">
        <f>AVERAGE(P93:Q93,R93)</f>
        <v>109.83989060397583</v>
      </c>
      <c r="T93" s="353">
        <f>AVERAGE(Q93,R93,S93)</f>
        <v>108.90225667533247</v>
      </c>
      <c r="U93" s="353">
        <f>T93*1.01</f>
        <v>109.9912792420858</v>
      </c>
      <c r="V93" s="353">
        <f>AVERAGE(R93,S93,T93)</f>
        <v>111.7473824264361</v>
      </c>
      <c r="W93" s="353">
        <f>V93*1.01</f>
        <v>112.86485625070047</v>
      </c>
      <c r="X93" s="353">
        <f>AVERAGE(S93,T93,V93)</f>
        <v>110.16317656858148</v>
      </c>
      <c r="Y93" s="353">
        <f>X93*1.01</f>
        <v>111.26480833426729</v>
      </c>
      <c r="Z93" s="439"/>
      <c r="AA93" s="439"/>
      <c r="AB93" s="439"/>
      <c r="AC93" s="439"/>
      <c r="AD93" s="439"/>
      <c r="AE93" s="439"/>
      <c r="AF93" s="439"/>
      <c r="AG93" s="439"/>
      <c r="AH93" s="439"/>
      <c r="AI93" s="439"/>
      <c r="AJ93" s="439"/>
      <c r="AK93" s="439"/>
      <c r="AL93" s="439"/>
      <c r="AM93" s="439"/>
      <c r="AN93" s="354">
        <f t="shared" si="21"/>
        <v>-12.285912967884414</v>
      </c>
      <c r="AO93" s="355">
        <f t="shared" si="22"/>
        <v>-0.10905999493879626</v>
      </c>
    </row>
    <row r="94" spans="1:52" s="356" customFormat="1" ht="18" x14ac:dyDescent="0.2">
      <c r="A94" s="347" t="s">
        <v>977</v>
      </c>
      <c r="B94" s="283" t="s">
        <v>898</v>
      </c>
      <c r="C94" s="348">
        <v>1</v>
      </c>
      <c r="D94" s="349"/>
      <c r="E94" s="349"/>
      <c r="F94" s="349"/>
      <c r="G94" s="350" t="s">
        <v>706</v>
      </c>
      <c r="H94" s="351"/>
      <c r="I94" s="351"/>
      <c r="J94" s="351"/>
      <c r="K94" s="351"/>
      <c r="L94" s="352">
        <v>107.2</v>
      </c>
      <c r="M94" s="352">
        <v>107.2</v>
      </c>
      <c r="N94" s="352">
        <v>107.2</v>
      </c>
      <c r="O94" s="352">
        <v>107.2</v>
      </c>
      <c r="P94" s="352">
        <v>107.2</v>
      </c>
      <c r="Q94" s="487">
        <v>106.8</v>
      </c>
      <c r="R94" s="487">
        <v>98.9</v>
      </c>
      <c r="S94" s="487">
        <v>116.9</v>
      </c>
      <c r="T94" s="487">
        <v>104.8</v>
      </c>
      <c r="U94" s="487">
        <v>109.1</v>
      </c>
      <c r="V94" s="487">
        <v>104.7</v>
      </c>
      <c r="W94" s="487">
        <v>104.5</v>
      </c>
      <c r="X94" s="487">
        <v>105</v>
      </c>
      <c r="Y94" s="487">
        <v>104.6</v>
      </c>
      <c r="Z94" s="439"/>
      <c r="AA94" s="439"/>
      <c r="AB94" s="439"/>
      <c r="AC94" s="439"/>
      <c r="AD94" s="439"/>
      <c r="AE94" s="439"/>
      <c r="AF94" s="439"/>
      <c r="AG94" s="439"/>
      <c r="AH94" s="439"/>
      <c r="AI94" s="439"/>
      <c r="AJ94" s="439"/>
      <c r="AK94" s="439"/>
      <c r="AL94" s="439"/>
      <c r="AM94" s="439"/>
      <c r="AN94" s="354">
        <f t="shared" si="21"/>
        <v>-0.40000000000000568</v>
      </c>
      <c r="AO94" s="355">
        <f t="shared" si="22"/>
        <v>-3.7313432835821558E-3</v>
      </c>
    </row>
    <row r="95" spans="1:52" ht="52.5" x14ac:dyDescent="0.2">
      <c r="A95" s="260" t="s">
        <v>3</v>
      </c>
      <c r="B95" s="261" t="s">
        <v>345</v>
      </c>
      <c r="C95" s="282">
        <v>1</v>
      </c>
      <c r="D95" s="293"/>
      <c r="E95" s="293"/>
      <c r="F95" s="293"/>
      <c r="G95" s="294" t="s">
        <v>705</v>
      </c>
      <c r="H95" s="280"/>
      <c r="I95" s="280"/>
      <c r="J95" s="280"/>
      <c r="K95" s="280"/>
      <c r="L95" s="427">
        <v>167.9</v>
      </c>
      <c r="M95" s="427">
        <v>158.5</v>
      </c>
      <c r="N95" s="427">
        <v>7.9</v>
      </c>
      <c r="O95" s="427">
        <v>343.3</v>
      </c>
      <c r="P95" s="427">
        <v>632.1</v>
      </c>
      <c r="Q95" s="427">
        <v>774.5</v>
      </c>
      <c r="R95" s="428">
        <f>Q95*R97/100</f>
        <v>1002.9775</v>
      </c>
      <c r="S95" s="313">
        <f>R95*S97/100*S98/100</f>
        <v>1625.7803284826812</v>
      </c>
      <c r="T95" s="313">
        <f>S95*T97/100*T98/100</f>
        <v>2174.5727184902257</v>
      </c>
      <c r="U95" s="313">
        <f>S95*U97/100*U98/100</f>
        <v>2286.4345651064546</v>
      </c>
      <c r="V95" s="313">
        <f>T95*V97/100*V98/100</f>
        <v>3003.760352216611</v>
      </c>
      <c r="W95" s="313">
        <f>U95*W97/100*W98/100</f>
        <v>3183.7657384889962</v>
      </c>
      <c r="X95" s="313">
        <f>V95*X97/100*X98/100</f>
        <v>4186.565134341412</v>
      </c>
      <c r="Y95" s="313">
        <f>W95*Y97/100*Y98/100</f>
        <v>4464.7529803113166</v>
      </c>
      <c r="AN95" s="316">
        <f t="shared" si="21"/>
        <v>142.39999999999998</v>
      </c>
      <c r="AO95" s="323">
        <f t="shared" si="22"/>
        <v>0.22528080999841782</v>
      </c>
    </row>
    <row r="96" spans="1:52" ht="27" x14ac:dyDescent="0.2">
      <c r="A96" s="347" t="s">
        <v>978</v>
      </c>
      <c r="B96" s="283" t="s">
        <v>962</v>
      </c>
      <c r="C96" s="282"/>
      <c r="D96" s="293"/>
      <c r="E96" s="293"/>
      <c r="F96" s="293"/>
      <c r="G96" s="294"/>
      <c r="H96" s="280"/>
      <c r="I96" s="280"/>
      <c r="J96" s="280"/>
      <c r="K96" s="280"/>
      <c r="L96" s="427"/>
      <c r="M96" s="427"/>
      <c r="N96" s="485">
        <f t="shared" ref="N96:T96" si="24">N95/M95-M95/L95</f>
        <v>-0.89417202292937625</v>
      </c>
      <c r="O96" s="485">
        <f t="shared" si="24"/>
        <v>43.405853931238269</v>
      </c>
      <c r="P96" s="485">
        <f t="shared" si="24"/>
        <v>-41.614449479548831</v>
      </c>
      <c r="Q96" s="485">
        <f t="shared" si="24"/>
        <v>-0.61596591298439596</v>
      </c>
      <c r="R96" s="485">
        <f t="shared" si="24"/>
        <v>6.971919000158211E-2</v>
      </c>
      <c r="S96" s="485">
        <f t="shared" si="24"/>
        <v>0.32595393813189366</v>
      </c>
      <c r="T96" s="485">
        <f t="shared" si="24"/>
        <v>-0.283397639539128</v>
      </c>
      <c r="U96" s="485">
        <f>U95/S95-S95/R95</f>
        <v>-0.21459262040063964</v>
      </c>
      <c r="V96" s="485">
        <f>V95/T95-T95/S95</f>
        <v>4.375430402625291E-2</v>
      </c>
      <c r="W96" s="485">
        <f>W95/U95-U95/S95</f>
        <v>-1.3902601843724272E-2</v>
      </c>
      <c r="X96" s="485">
        <f>X95/V95-V95/T95</f>
        <v>1.2464080921216647E-2</v>
      </c>
      <c r="Y96" s="485">
        <f>Y95/W95-W95/U95</f>
        <v>9.8910004676291408E-3</v>
      </c>
      <c r="AN96" s="316"/>
      <c r="AO96" s="323"/>
    </row>
    <row r="97" spans="1:52" s="356" customFormat="1" ht="27" x14ac:dyDescent="0.2">
      <c r="A97" s="347" t="s">
        <v>4</v>
      </c>
      <c r="B97" s="283" t="s">
        <v>898</v>
      </c>
      <c r="C97" s="348">
        <v>1</v>
      </c>
      <c r="D97" s="349"/>
      <c r="E97" s="349"/>
      <c r="F97" s="349"/>
      <c r="G97" s="350" t="s">
        <v>704</v>
      </c>
      <c r="H97" s="351"/>
      <c r="I97" s="351"/>
      <c r="J97" s="351"/>
      <c r="K97" s="351"/>
      <c r="L97" s="352">
        <v>278.5</v>
      </c>
      <c r="M97" s="387">
        <f>M95/L95/(M98/100)*100</f>
        <v>88.061034908838764</v>
      </c>
      <c r="N97" s="387">
        <f>N95/M95/(N98/100)*100</f>
        <v>4.6494656057253163</v>
      </c>
      <c r="O97" s="387">
        <f>O95/N95/(O98/100)*100</f>
        <v>4053.7030039675046</v>
      </c>
      <c r="P97" s="387">
        <f>P95/O95/(P98/100)*100</f>
        <v>171.75808983048634</v>
      </c>
      <c r="Q97" s="387">
        <f>Q95/P95/(Q98/100)*100</f>
        <v>114.72666760284811</v>
      </c>
      <c r="R97" s="388">
        <v>129.5</v>
      </c>
      <c r="S97" s="353">
        <f>AVERAGE(P97:Q97,R97)</f>
        <v>138.66158581111148</v>
      </c>
      <c r="T97" s="353">
        <f>AVERAGE(Q97,R97,S97)</f>
        <v>127.6294178046532</v>
      </c>
      <c r="U97" s="353">
        <f>T97*1.01</f>
        <v>128.90571198269973</v>
      </c>
      <c r="V97" s="353">
        <f>AVERAGE(R97,S97,T97)</f>
        <v>131.93033453858823</v>
      </c>
      <c r="W97" s="353">
        <f>V97*1.01</f>
        <v>133.24963788397412</v>
      </c>
      <c r="X97" s="353">
        <f>AVERAGE(S97,T97,V97)</f>
        <v>132.74044605145096</v>
      </c>
      <c r="Y97" s="353">
        <f>X97*1.01</f>
        <v>134.06785051196547</v>
      </c>
      <c r="Z97" s="439"/>
      <c r="AA97" s="439"/>
      <c r="AB97" s="439"/>
      <c r="AC97" s="439"/>
      <c r="AD97" s="439"/>
      <c r="AE97" s="439"/>
      <c r="AF97" s="439"/>
      <c r="AG97" s="439"/>
      <c r="AH97" s="439"/>
      <c r="AI97" s="439"/>
      <c r="AJ97" s="439"/>
      <c r="AK97" s="439"/>
      <c r="AL97" s="439"/>
      <c r="AM97" s="439"/>
      <c r="AN97" s="354">
        <f t="shared" si="21"/>
        <v>-57.031422227638231</v>
      </c>
      <c r="AO97" s="355">
        <f t="shared" si="22"/>
        <v>-0.3320450424426844</v>
      </c>
    </row>
    <row r="98" spans="1:52" s="356" customFormat="1" ht="27" x14ac:dyDescent="0.2">
      <c r="A98" s="347" t="s">
        <v>5</v>
      </c>
      <c r="B98" s="283" t="s">
        <v>898</v>
      </c>
      <c r="C98" s="348">
        <v>1</v>
      </c>
      <c r="D98" s="349"/>
      <c r="E98" s="349"/>
      <c r="F98" s="349"/>
      <c r="G98" s="350" t="s">
        <v>706</v>
      </c>
      <c r="H98" s="351"/>
      <c r="I98" s="351"/>
      <c r="J98" s="351"/>
      <c r="K98" s="351"/>
      <c r="L98" s="352">
        <v>107.2</v>
      </c>
      <c r="M98" s="352">
        <v>107.2</v>
      </c>
      <c r="N98" s="352">
        <v>107.2</v>
      </c>
      <c r="O98" s="352">
        <v>107.2</v>
      </c>
      <c r="P98" s="352">
        <v>107.2</v>
      </c>
      <c r="Q98" s="487">
        <v>106.8</v>
      </c>
      <c r="R98" s="487">
        <v>98.9</v>
      </c>
      <c r="S98" s="487">
        <v>116.9</v>
      </c>
      <c r="T98" s="487">
        <f t="shared" ref="T98:Y98" si="25">T94</f>
        <v>104.8</v>
      </c>
      <c r="U98" s="487">
        <f t="shared" si="25"/>
        <v>109.1</v>
      </c>
      <c r="V98" s="487">
        <f t="shared" si="25"/>
        <v>104.7</v>
      </c>
      <c r="W98" s="487">
        <f t="shared" si="25"/>
        <v>104.5</v>
      </c>
      <c r="X98" s="487">
        <f t="shared" si="25"/>
        <v>105</v>
      </c>
      <c r="Y98" s="487">
        <f t="shared" si="25"/>
        <v>104.6</v>
      </c>
      <c r="Z98" s="439"/>
      <c r="AA98" s="439"/>
      <c r="AB98" s="439"/>
      <c r="AC98" s="439"/>
      <c r="AD98" s="439"/>
      <c r="AE98" s="439"/>
      <c r="AF98" s="439"/>
      <c r="AG98" s="439"/>
      <c r="AH98" s="439"/>
      <c r="AI98" s="439"/>
      <c r="AJ98" s="439"/>
      <c r="AK98" s="439"/>
      <c r="AL98" s="439"/>
      <c r="AM98" s="439"/>
      <c r="AN98" s="354">
        <f t="shared" si="21"/>
        <v>-0.40000000000000568</v>
      </c>
      <c r="AO98" s="355">
        <f t="shared" si="22"/>
        <v>-3.7313432835821558E-3</v>
      </c>
    </row>
    <row r="99" spans="1:52" ht="52.5" x14ac:dyDescent="0.2">
      <c r="A99" s="260" t="s">
        <v>6</v>
      </c>
      <c r="B99" s="261" t="s">
        <v>345</v>
      </c>
      <c r="C99" s="282">
        <v>1</v>
      </c>
      <c r="D99" s="293"/>
      <c r="E99" s="293"/>
      <c r="F99" s="293"/>
      <c r="G99" s="294" t="s">
        <v>705</v>
      </c>
      <c r="H99" s="280"/>
      <c r="I99" s="280"/>
      <c r="J99" s="280"/>
      <c r="K99" s="280"/>
      <c r="L99" s="427">
        <v>70.099999999999994</v>
      </c>
      <c r="M99" s="427">
        <v>79.599999999999994</v>
      </c>
      <c r="N99" s="427">
        <v>126</v>
      </c>
      <c r="O99" s="427">
        <v>101.6</v>
      </c>
      <c r="P99" s="427">
        <v>101.8</v>
      </c>
      <c r="Q99" s="427">
        <v>146.5</v>
      </c>
      <c r="R99" s="428">
        <f>Q99*R101/100</f>
        <v>170.67250000000001</v>
      </c>
      <c r="S99" s="313">
        <f>R99*S101/100*S102/100</f>
        <v>229.25340501490973</v>
      </c>
      <c r="T99" s="313">
        <f>S99*T101/100*T102/100</f>
        <v>293.23558419058844</v>
      </c>
      <c r="U99" s="313">
        <f>S99*U101/100*U102/100</f>
        <v>308.31986886970549</v>
      </c>
      <c r="V99" s="313">
        <f>T99*V101/100*V102/100</f>
        <v>361.72328341499815</v>
      </c>
      <c r="W99" s="313">
        <f>U99*W101/100*W102/100</f>
        <v>383.40015897092684</v>
      </c>
      <c r="X99" s="313">
        <f>V99*X101/100*X102/100</f>
        <v>449.15453796570529</v>
      </c>
      <c r="Y99" s="313">
        <f>W99*Y101/100*Y102/100</f>
        <v>478.99984776379171</v>
      </c>
      <c r="AN99" s="316">
        <f t="shared" si="21"/>
        <v>44.7</v>
      </c>
      <c r="AO99" s="323">
        <f t="shared" si="22"/>
        <v>0.43909626719056982</v>
      </c>
      <c r="AS99" s="267">
        <v>0.1</v>
      </c>
      <c r="AT99" s="267">
        <v>0.1</v>
      </c>
      <c r="AU99" s="267">
        <v>0.1</v>
      </c>
      <c r="AV99" s="267">
        <v>0.1</v>
      </c>
      <c r="AW99" s="267">
        <v>0.1</v>
      </c>
      <c r="AX99" s="267">
        <v>0.1</v>
      </c>
      <c r="AY99" s="267">
        <v>0.1</v>
      </c>
      <c r="AZ99" s="267">
        <v>0.1</v>
      </c>
    </row>
    <row r="100" spans="1:52" ht="27" x14ac:dyDescent="0.2">
      <c r="A100" s="347" t="s">
        <v>979</v>
      </c>
      <c r="B100" s="283" t="s">
        <v>962</v>
      </c>
      <c r="C100" s="282"/>
      <c r="D100" s="293"/>
      <c r="E100" s="293"/>
      <c r="F100" s="293"/>
      <c r="G100" s="294"/>
      <c r="H100" s="280"/>
      <c r="I100" s="280"/>
      <c r="J100" s="280"/>
      <c r="K100" s="280"/>
      <c r="L100" s="427"/>
      <c r="M100" s="427"/>
      <c r="N100" s="485">
        <f t="shared" ref="N100:T100" si="26">N99/M99-M99/L99</f>
        <v>0.44739388812823044</v>
      </c>
      <c r="O100" s="485">
        <f t="shared" si="26"/>
        <v>-0.77656536651511543</v>
      </c>
      <c r="P100" s="485">
        <f t="shared" si="26"/>
        <v>0.19561929758780161</v>
      </c>
      <c r="Q100" s="485">
        <f t="shared" si="26"/>
        <v>0.43712776325356195</v>
      </c>
      <c r="R100" s="485">
        <f t="shared" si="26"/>
        <v>-0.27409626719056979</v>
      </c>
      <c r="S100" s="485">
        <f t="shared" si="26"/>
        <v>0.17823575863076768</v>
      </c>
      <c r="T100" s="485">
        <f t="shared" si="26"/>
        <v>-6.4146428762286378E-2</v>
      </c>
      <c r="U100" s="485">
        <f>U99/S99-S99/R99</f>
        <v>1.6510004106240483E-3</v>
      </c>
      <c r="V100" s="485">
        <f>V99/T99-T99/S99</f>
        <v>-4.5530706983558433E-2</v>
      </c>
      <c r="W100" s="485">
        <f>W99/U99-U99/S99</f>
        <v>-0.10137248155916456</v>
      </c>
      <c r="X100" s="485">
        <f>X99/V99-V99/T99</f>
        <v>8.1489435323567339E-3</v>
      </c>
      <c r="Y100" s="485">
        <f>Y99/W99-W99/U99</f>
        <v>5.8327469151053801E-3</v>
      </c>
      <c r="AN100" s="316"/>
      <c r="AO100" s="323"/>
    </row>
    <row r="101" spans="1:52" s="356" customFormat="1" ht="27" x14ac:dyDescent="0.2">
      <c r="A101" s="347" t="s">
        <v>7</v>
      </c>
      <c r="B101" s="283" t="s">
        <v>898</v>
      </c>
      <c r="C101" s="348">
        <v>1</v>
      </c>
      <c r="D101" s="349"/>
      <c r="E101" s="349"/>
      <c r="F101" s="349"/>
      <c r="G101" s="350" t="s">
        <v>704</v>
      </c>
      <c r="H101" s="351"/>
      <c r="I101" s="351"/>
      <c r="J101" s="351"/>
      <c r="K101" s="351"/>
      <c r="L101" s="352">
        <v>148</v>
      </c>
      <c r="M101" s="387">
        <f>M99/L99/(M102/100)*100</f>
        <v>105.92543700896373</v>
      </c>
      <c r="N101" s="387">
        <f>N99/M99/(N102/100)*100</f>
        <v>147.65994149853748</v>
      </c>
      <c r="O101" s="387">
        <f>O99/N99/(O102/100)*100</f>
        <v>75.219142383321483</v>
      </c>
      <c r="P101" s="387">
        <f>P99/O99/(P102/100)*100</f>
        <v>93.467211188153712</v>
      </c>
      <c r="Q101" s="387">
        <f>Q99/P99/(Q102/100)*100</f>
        <v>134.74684149724436</v>
      </c>
      <c r="R101" s="388">
        <v>116.5</v>
      </c>
      <c r="S101" s="353">
        <f>AVERAGE(P101:Q101,R101)</f>
        <v>114.90468422846602</v>
      </c>
      <c r="T101" s="353">
        <f>AVERAGE(Q101,R101,S101)</f>
        <v>122.05050857523679</v>
      </c>
      <c r="U101" s="353">
        <f>T101*1.01</f>
        <v>123.27101366098915</v>
      </c>
      <c r="V101" s="353">
        <f>AVERAGE(R101,S101,T101)</f>
        <v>117.81839760123427</v>
      </c>
      <c r="W101" s="353">
        <f>V101*1.01</f>
        <v>118.99658157724662</v>
      </c>
      <c r="X101" s="353">
        <f>AVERAGE(S101,T101,V101)</f>
        <v>118.25786346831235</v>
      </c>
      <c r="Y101" s="353">
        <f>X101*1.01</f>
        <v>119.44044210299548</v>
      </c>
      <c r="Z101" s="439"/>
      <c r="AA101" s="439"/>
      <c r="AB101" s="439"/>
      <c r="AC101" s="439"/>
      <c r="AD101" s="439"/>
      <c r="AE101" s="439"/>
      <c r="AF101" s="439"/>
      <c r="AG101" s="439"/>
      <c r="AH101" s="439"/>
      <c r="AI101" s="439"/>
      <c r="AJ101" s="439"/>
      <c r="AK101" s="439"/>
      <c r="AL101" s="439"/>
      <c r="AM101" s="439"/>
      <c r="AN101" s="354">
        <f t="shared" si="21"/>
        <v>41.279630309090649</v>
      </c>
      <c r="AO101" s="355">
        <f t="shared" si="22"/>
        <v>0.44164825059338608</v>
      </c>
    </row>
    <row r="102" spans="1:52" s="356" customFormat="1" ht="18" x14ac:dyDescent="0.2">
      <c r="A102" s="347" t="s">
        <v>8</v>
      </c>
      <c r="B102" s="283" t="s">
        <v>898</v>
      </c>
      <c r="C102" s="348">
        <v>1</v>
      </c>
      <c r="D102" s="349"/>
      <c r="E102" s="349"/>
      <c r="F102" s="349"/>
      <c r="G102" s="350" t="s">
        <v>706</v>
      </c>
      <c r="H102" s="351"/>
      <c r="I102" s="351"/>
      <c r="J102" s="351"/>
      <c r="K102" s="351"/>
      <c r="L102" s="352">
        <v>107.2</v>
      </c>
      <c r="M102" s="352">
        <v>107.2</v>
      </c>
      <c r="N102" s="352">
        <v>107.2</v>
      </c>
      <c r="O102" s="352">
        <v>107.2</v>
      </c>
      <c r="P102" s="352">
        <v>107.2</v>
      </c>
      <c r="Q102" s="487">
        <v>106.8</v>
      </c>
      <c r="R102" s="487">
        <v>98.9</v>
      </c>
      <c r="S102" s="487">
        <v>116.9</v>
      </c>
      <c r="T102" s="487">
        <f t="shared" ref="T102:Y102" si="27">T94</f>
        <v>104.8</v>
      </c>
      <c r="U102" s="487">
        <f t="shared" si="27"/>
        <v>109.1</v>
      </c>
      <c r="V102" s="487">
        <f t="shared" si="27"/>
        <v>104.7</v>
      </c>
      <c r="W102" s="487">
        <f t="shared" si="27"/>
        <v>104.5</v>
      </c>
      <c r="X102" s="487">
        <f t="shared" si="27"/>
        <v>105</v>
      </c>
      <c r="Y102" s="487">
        <f t="shared" si="27"/>
        <v>104.6</v>
      </c>
      <c r="Z102" s="439"/>
      <c r="AA102" s="439"/>
      <c r="AB102" s="439"/>
      <c r="AC102" s="439"/>
      <c r="AD102" s="439"/>
      <c r="AE102" s="439"/>
      <c r="AF102" s="439"/>
      <c r="AG102" s="439"/>
      <c r="AH102" s="439"/>
      <c r="AI102" s="439"/>
      <c r="AJ102" s="439"/>
      <c r="AK102" s="439"/>
      <c r="AL102" s="439"/>
      <c r="AM102" s="439"/>
      <c r="AN102" s="354">
        <f t="shared" si="21"/>
        <v>-0.40000000000000568</v>
      </c>
      <c r="AO102" s="355">
        <f t="shared" si="22"/>
        <v>-3.7313432835821558E-3</v>
      </c>
    </row>
    <row r="103" spans="1:52" ht="45" customHeight="1" x14ac:dyDescent="0.2">
      <c r="A103" s="260" t="s">
        <v>9</v>
      </c>
      <c r="B103" s="261" t="s">
        <v>345</v>
      </c>
      <c r="C103" s="282">
        <v>1</v>
      </c>
      <c r="D103" s="293"/>
      <c r="E103" s="293"/>
      <c r="F103" s="293"/>
      <c r="G103" s="294" t="s">
        <v>705</v>
      </c>
      <c r="H103" s="280"/>
      <c r="I103" s="280"/>
      <c r="J103" s="280"/>
      <c r="K103" s="280"/>
      <c r="L103" s="381">
        <v>7.5</v>
      </c>
      <c r="M103" s="381">
        <v>8.9</v>
      </c>
      <c r="N103" s="381">
        <v>-2</v>
      </c>
      <c r="O103" s="381">
        <v>-5.8</v>
      </c>
      <c r="P103" s="382"/>
      <c r="Q103" s="382"/>
      <c r="R103" s="382">
        <v>43.8</v>
      </c>
      <c r="S103" s="313"/>
      <c r="T103" s="313"/>
      <c r="U103" s="313"/>
      <c r="V103" s="313"/>
      <c r="W103" s="313"/>
      <c r="X103" s="313"/>
      <c r="Y103" s="313"/>
      <c r="AN103" s="316">
        <f t="shared" si="21"/>
        <v>0</v>
      </c>
      <c r="AO103" s="323" t="e">
        <f t="shared" si="22"/>
        <v>#DIV/0!</v>
      </c>
      <c r="AS103" s="267">
        <v>0.1</v>
      </c>
      <c r="AT103" s="267">
        <v>0.1</v>
      </c>
      <c r="AU103" s="267">
        <v>0.1</v>
      </c>
      <c r="AV103" s="267">
        <v>0.1</v>
      </c>
      <c r="AW103" s="267">
        <v>0.1</v>
      </c>
      <c r="AX103" s="267">
        <v>0.1</v>
      </c>
      <c r="AY103" s="267">
        <v>0.1</v>
      </c>
      <c r="AZ103" s="267">
        <v>0.1</v>
      </c>
    </row>
    <row r="104" spans="1:52" ht="31.5" customHeight="1" x14ac:dyDescent="0.2">
      <c r="A104" s="347" t="s">
        <v>980</v>
      </c>
      <c r="B104" s="283" t="s">
        <v>962</v>
      </c>
      <c r="C104" s="282"/>
      <c r="D104" s="293"/>
      <c r="E104" s="293"/>
      <c r="F104" s="293"/>
      <c r="G104" s="294"/>
      <c r="H104" s="280"/>
      <c r="I104" s="280"/>
      <c r="J104" s="280"/>
      <c r="K104" s="280"/>
      <c r="L104" s="381"/>
      <c r="M104" s="381"/>
      <c r="N104" s="485">
        <f t="shared" ref="N104:T104" si="28">N103/M103-M103/L103</f>
        <v>-1.4113857677902621</v>
      </c>
      <c r="O104" s="485">
        <f t="shared" si="28"/>
        <v>3.1247191011235955</v>
      </c>
      <c r="P104" s="485">
        <f t="shared" si="28"/>
        <v>-2.9</v>
      </c>
      <c r="Q104" s="485" t="e">
        <f t="shared" si="28"/>
        <v>#DIV/0!</v>
      </c>
      <c r="R104" s="485" t="e">
        <f t="shared" si="28"/>
        <v>#DIV/0!</v>
      </c>
      <c r="S104" s="485" t="e">
        <f t="shared" si="28"/>
        <v>#DIV/0!</v>
      </c>
      <c r="T104" s="485" t="e">
        <f t="shared" si="28"/>
        <v>#DIV/0!</v>
      </c>
      <c r="U104" s="485" t="e">
        <f>U103/S103-S103/R103</f>
        <v>#DIV/0!</v>
      </c>
      <c r="V104" s="485" t="e">
        <f>V103/T103-T103/S103</f>
        <v>#DIV/0!</v>
      </c>
      <c r="W104" s="485" t="e">
        <f>W103/U103-U103/S103</f>
        <v>#DIV/0!</v>
      </c>
      <c r="X104" s="485" t="e">
        <f>X103/V103-V103/T103</f>
        <v>#DIV/0!</v>
      </c>
      <c r="Y104" s="485" t="e">
        <f>Y103/W103-W103/U103</f>
        <v>#DIV/0!</v>
      </c>
      <c r="AN104" s="316"/>
      <c r="AO104" s="323"/>
    </row>
    <row r="105" spans="1:52" s="356" customFormat="1" ht="18" x14ac:dyDescent="0.2">
      <c r="A105" s="347" t="s">
        <v>10</v>
      </c>
      <c r="B105" s="283" t="s">
        <v>898</v>
      </c>
      <c r="C105" s="348">
        <v>1</v>
      </c>
      <c r="D105" s="349"/>
      <c r="E105" s="349"/>
      <c r="F105" s="349"/>
      <c r="G105" s="350" t="s">
        <v>704</v>
      </c>
      <c r="H105" s="351"/>
      <c r="I105" s="351"/>
      <c r="J105" s="351"/>
      <c r="K105" s="351"/>
      <c r="L105" s="387" t="e">
        <f>L103/K103/(L106/100)*100</f>
        <v>#DIV/0!</v>
      </c>
      <c r="M105" s="387">
        <f>M103/L103/(M106/100)*100</f>
        <v>110.69651741293534</v>
      </c>
      <c r="N105" s="387">
        <f>N103/M103/(N106/100)*100</f>
        <v>-20.96260271675331</v>
      </c>
      <c r="O105" s="387">
        <f>O103/N103/(O106/100)*100</f>
        <v>270.52238805970148</v>
      </c>
      <c r="P105" s="387"/>
      <c r="Q105" s="387"/>
      <c r="R105" s="353">
        <f>AVERAGE(O105:P105,Q105)</f>
        <v>270.52238805970148</v>
      </c>
      <c r="S105" s="353"/>
      <c r="T105" s="353"/>
      <c r="U105" s="353"/>
      <c r="V105" s="353"/>
      <c r="W105" s="353"/>
      <c r="X105" s="353"/>
      <c r="Y105" s="353"/>
      <c r="Z105" s="439"/>
      <c r="AA105" s="439"/>
      <c r="AB105" s="439"/>
      <c r="AC105" s="439"/>
      <c r="AD105" s="439"/>
      <c r="AE105" s="439"/>
      <c r="AF105" s="439"/>
      <c r="AG105" s="439"/>
      <c r="AH105" s="439"/>
      <c r="AI105" s="439"/>
      <c r="AJ105" s="439"/>
      <c r="AK105" s="439"/>
      <c r="AL105" s="439"/>
      <c r="AM105" s="439"/>
      <c r="AN105" s="354">
        <f t="shared" si="21"/>
        <v>0</v>
      </c>
      <c r="AO105" s="355" t="e">
        <f t="shared" si="22"/>
        <v>#DIV/0!</v>
      </c>
    </row>
    <row r="106" spans="1:52" s="356" customFormat="1" ht="18" x14ac:dyDescent="0.2">
      <c r="A106" s="347" t="s">
        <v>11</v>
      </c>
      <c r="B106" s="283" t="s">
        <v>898</v>
      </c>
      <c r="C106" s="348">
        <v>1</v>
      </c>
      <c r="D106" s="349"/>
      <c r="E106" s="349"/>
      <c r="F106" s="349"/>
      <c r="G106" s="350" t="s">
        <v>706</v>
      </c>
      <c r="H106" s="351"/>
      <c r="I106" s="351"/>
      <c r="J106" s="351"/>
      <c r="K106" s="351"/>
      <c r="L106" s="352">
        <v>107.2</v>
      </c>
      <c r="M106" s="352">
        <v>107.2</v>
      </c>
      <c r="N106" s="352">
        <v>107.2</v>
      </c>
      <c r="O106" s="352">
        <v>107.2</v>
      </c>
      <c r="P106" s="352"/>
      <c r="Q106" s="487"/>
      <c r="R106" s="487">
        <v>98.9</v>
      </c>
      <c r="S106" s="487"/>
      <c r="T106" s="487"/>
      <c r="U106" s="487"/>
      <c r="V106" s="487"/>
      <c r="W106" s="487"/>
      <c r="X106" s="487"/>
      <c r="Y106" s="487"/>
      <c r="Z106" s="439"/>
      <c r="AA106" s="439"/>
      <c r="AB106" s="439"/>
      <c r="AC106" s="439"/>
      <c r="AD106" s="439"/>
      <c r="AE106" s="439"/>
      <c r="AF106" s="439"/>
      <c r="AG106" s="439"/>
      <c r="AH106" s="439"/>
      <c r="AI106" s="439"/>
      <c r="AJ106" s="439"/>
      <c r="AK106" s="439"/>
      <c r="AL106" s="439"/>
      <c r="AM106" s="439"/>
      <c r="AN106" s="354">
        <f t="shared" si="21"/>
        <v>0</v>
      </c>
      <c r="AO106" s="355" t="e">
        <f t="shared" si="22"/>
        <v>#DIV/0!</v>
      </c>
    </row>
    <row r="107" spans="1:52" ht="42.75" x14ac:dyDescent="0.2">
      <c r="A107" s="292" t="s">
        <v>12</v>
      </c>
      <c r="B107" s="261"/>
      <c r="C107" s="282"/>
      <c r="D107" s="293"/>
      <c r="E107" s="293"/>
      <c r="F107" s="293"/>
      <c r="G107" s="294"/>
      <c r="H107" s="280"/>
      <c r="I107" s="280"/>
      <c r="J107" s="280"/>
      <c r="K107" s="280"/>
      <c r="L107" s="281"/>
      <c r="M107" s="281"/>
      <c r="N107" s="281"/>
      <c r="O107" s="281"/>
      <c r="P107" s="313"/>
      <c r="Q107" s="313"/>
      <c r="R107" s="313"/>
      <c r="S107" s="313"/>
      <c r="T107" s="313"/>
      <c r="U107" s="313"/>
      <c r="V107" s="313"/>
      <c r="W107" s="313"/>
      <c r="X107" s="313"/>
      <c r="Y107" s="313"/>
      <c r="AN107" s="316">
        <f t="shared" si="21"/>
        <v>0</v>
      </c>
      <c r="AO107" s="323" t="e">
        <f t="shared" si="22"/>
        <v>#DIV/0!</v>
      </c>
    </row>
    <row r="108" spans="1:52" s="266" customFormat="1" ht="63" x14ac:dyDescent="0.2">
      <c r="A108" s="264" t="s">
        <v>15</v>
      </c>
      <c r="B108" s="265" t="s">
        <v>345</v>
      </c>
      <c r="C108" s="295">
        <v>1</v>
      </c>
      <c r="D108" s="296"/>
      <c r="E108" s="296"/>
      <c r="F108" s="296"/>
      <c r="G108" s="297" t="s">
        <v>705</v>
      </c>
      <c r="H108" s="298"/>
      <c r="I108" s="298"/>
      <c r="J108" s="298"/>
      <c r="K108" s="298"/>
      <c r="L108" s="493">
        <v>8260.7000000000007</v>
      </c>
      <c r="M108" s="493">
        <v>10488.1</v>
      </c>
      <c r="N108" s="493">
        <v>5965.4</v>
      </c>
      <c r="O108" s="493">
        <v>12888.9</v>
      </c>
      <c r="P108" s="493">
        <v>17443.3</v>
      </c>
      <c r="Q108" s="493">
        <v>19644.400000000001</v>
      </c>
      <c r="R108" s="493">
        <v>18723.972000000002</v>
      </c>
      <c r="S108" s="322">
        <f>R108*S110*S111/100/100</f>
        <v>20352.957564</v>
      </c>
      <c r="T108" s="322">
        <f>S108*T110*T111/100/100</f>
        <v>22469.665150656001</v>
      </c>
      <c r="U108" s="313">
        <f>S108*U110/100*U111/100</f>
        <v>22694.361802162559</v>
      </c>
      <c r="V108" s="322">
        <f>T108*V110*V111/100/100</f>
        <v>24357.117023311108</v>
      </c>
      <c r="W108" s="313">
        <f>U108*W110/100*W111/100</f>
        <v>24869.616380899843</v>
      </c>
      <c r="X108" s="322">
        <f>V108*X110*X111/100/100</f>
        <v>26281.329268152687</v>
      </c>
      <c r="Y108" s="313">
        <f>W108*Y110/100*Y111/100</f>
        <v>27102.659235740844</v>
      </c>
      <c r="Z108" s="484"/>
      <c r="AA108" s="484"/>
      <c r="AB108" s="484"/>
      <c r="AC108" s="484"/>
      <c r="AD108" s="484"/>
      <c r="AE108" s="484"/>
      <c r="AF108" s="484"/>
      <c r="AG108" s="484"/>
      <c r="AH108" s="484"/>
      <c r="AI108" s="484"/>
      <c r="AJ108" s="484"/>
      <c r="AK108" s="484"/>
      <c r="AL108" s="484"/>
      <c r="AM108" s="484"/>
      <c r="AN108" s="383">
        <f t="shared" si="21"/>
        <v>2201.1000000000022</v>
      </c>
      <c r="AO108" s="384">
        <f t="shared" si="22"/>
        <v>0.12618598545000093</v>
      </c>
    </row>
    <row r="109" spans="1:52" s="266" customFormat="1" ht="31.5" x14ac:dyDescent="0.2">
      <c r="A109" s="263" t="s">
        <v>981</v>
      </c>
      <c r="B109" s="283" t="s">
        <v>962</v>
      </c>
      <c r="C109" s="295"/>
      <c r="D109" s="296"/>
      <c r="E109" s="296"/>
      <c r="F109" s="296"/>
      <c r="G109" s="297"/>
      <c r="H109" s="298"/>
      <c r="I109" s="298"/>
      <c r="J109" s="298"/>
      <c r="K109" s="298"/>
      <c r="L109" s="493"/>
      <c r="M109" s="493"/>
      <c r="N109" s="485">
        <f t="shared" ref="N109:T109" si="29">N108/M108-M108/L108</f>
        <v>-0.70086021791564324</v>
      </c>
      <c r="O109" s="485">
        <f t="shared" si="29"/>
        <v>1.5918315665276248</v>
      </c>
      <c r="P109" s="485">
        <f t="shared" si="29"/>
        <v>-0.80725119879866125</v>
      </c>
      <c r="Q109" s="485">
        <f t="shared" si="29"/>
        <v>-0.22717233062041631</v>
      </c>
      <c r="R109" s="485">
        <f t="shared" si="29"/>
        <v>-0.17304045797143197</v>
      </c>
      <c r="S109" s="485">
        <f t="shared" si="29"/>
        <v>0.13385447252143101</v>
      </c>
      <c r="T109" s="485">
        <f t="shared" si="29"/>
        <v>1.7000000000000126E-2</v>
      </c>
      <c r="U109" s="485">
        <f>U108/S108-S108/R108</f>
        <v>2.8040000000000065E-2</v>
      </c>
      <c r="V109" s="485">
        <f>V108/T108-T108/S108</f>
        <v>-2.0000000000000018E-2</v>
      </c>
      <c r="W109" s="485">
        <f>W108/U108-U108/S108</f>
        <v>-1.9189999999999818E-2</v>
      </c>
      <c r="X109" s="485">
        <f>X108/V108-V108/T108</f>
        <v>-4.9999999999998934E-3</v>
      </c>
      <c r="Y109" s="485">
        <f>Y108/W108-W108/U108</f>
        <v>-6.0599999999999543E-3</v>
      </c>
      <c r="Z109" s="484"/>
      <c r="AA109" s="484"/>
      <c r="AB109" s="484"/>
      <c r="AC109" s="484"/>
      <c r="AD109" s="484"/>
      <c r="AE109" s="484"/>
      <c r="AF109" s="484"/>
      <c r="AG109" s="484"/>
      <c r="AH109" s="484"/>
      <c r="AI109" s="484"/>
      <c r="AJ109" s="484"/>
      <c r="AK109" s="484"/>
      <c r="AL109" s="484"/>
      <c r="AM109" s="484"/>
      <c r="AN109" s="383"/>
      <c r="AO109" s="384"/>
    </row>
    <row r="110" spans="1:52" s="304" customFormat="1" ht="31.5" x14ac:dyDescent="0.2">
      <c r="A110" s="263" t="s">
        <v>16</v>
      </c>
      <c r="B110" s="283" t="s">
        <v>898</v>
      </c>
      <c r="C110" s="302">
        <v>1</v>
      </c>
      <c r="D110" s="299"/>
      <c r="E110" s="299"/>
      <c r="F110" s="299"/>
      <c r="G110" s="300" t="s">
        <v>704</v>
      </c>
      <c r="H110" s="303"/>
      <c r="I110" s="303"/>
      <c r="J110" s="303"/>
      <c r="K110" s="303"/>
      <c r="L110" s="494"/>
      <c r="M110" s="494">
        <f t="shared" ref="M110:T110" si="30">M112/L112*100</f>
        <v>87.464971977582067</v>
      </c>
      <c r="N110" s="494">
        <f t="shared" si="30"/>
        <v>68.573717031866806</v>
      </c>
      <c r="O110" s="494">
        <f t="shared" si="30"/>
        <v>164.52527949274153</v>
      </c>
      <c r="P110" s="494">
        <f t="shared" si="30"/>
        <v>96.81541582150102</v>
      </c>
      <c r="Q110" s="494">
        <f t="shared" si="30"/>
        <v>130.29017389482507</v>
      </c>
      <c r="R110" s="494">
        <f t="shared" si="30"/>
        <v>81.796984924623118</v>
      </c>
      <c r="S110" s="494">
        <f t="shared" si="30"/>
        <v>100</v>
      </c>
      <c r="T110" s="494">
        <f t="shared" si="30"/>
        <v>100</v>
      </c>
      <c r="U110" s="353">
        <f>T110*1.01</f>
        <v>101</v>
      </c>
      <c r="V110" s="494">
        <f>V112/T112*100</f>
        <v>100</v>
      </c>
      <c r="W110" s="353">
        <f>V110*1.01</f>
        <v>101</v>
      </c>
      <c r="X110" s="494">
        <f>X112/V112*100</f>
        <v>100</v>
      </c>
      <c r="Y110" s="353">
        <f>X110*1.01</f>
        <v>101</v>
      </c>
      <c r="AN110" s="316">
        <f t="shared" si="21"/>
        <v>33.474758073324054</v>
      </c>
      <c r="AO110" s="323">
        <f t="shared" si="22"/>
        <v>0.34575855290485569</v>
      </c>
    </row>
    <row r="111" spans="1:52" s="304" customFormat="1" ht="31.5" x14ac:dyDescent="0.2">
      <c r="A111" s="263" t="s">
        <v>17</v>
      </c>
      <c r="B111" s="283" t="s">
        <v>898</v>
      </c>
      <c r="C111" s="302">
        <v>1</v>
      </c>
      <c r="D111" s="299"/>
      <c r="E111" s="299"/>
      <c r="F111" s="299"/>
      <c r="G111" s="300" t="s">
        <v>706</v>
      </c>
      <c r="H111" s="303"/>
      <c r="I111" s="303"/>
      <c r="J111" s="303"/>
      <c r="K111" s="303"/>
      <c r="L111" s="495"/>
      <c r="M111" s="495">
        <f t="shared" ref="M111:R111" si="31">M108/L108*100/M110*100</f>
        <v>145.15961504938397</v>
      </c>
      <c r="N111" s="495">
        <f t="shared" si="31"/>
        <v>82.944016010848216</v>
      </c>
      <c r="O111" s="495">
        <f t="shared" si="31"/>
        <v>131.32386229827978</v>
      </c>
      <c r="P111" s="495">
        <f t="shared" si="31"/>
        <v>139.78748163057105</v>
      </c>
      <c r="Q111" s="495">
        <f t="shared" si="31"/>
        <v>86.43675511240771</v>
      </c>
      <c r="R111" s="495">
        <f t="shared" si="31"/>
        <v>116.5257531627729</v>
      </c>
      <c r="S111" s="496">
        <v>108.7</v>
      </c>
      <c r="T111" s="487">
        <v>110.4</v>
      </c>
      <c r="U111" s="487">
        <f>T111</f>
        <v>110.4</v>
      </c>
      <c r="V111" s="487">
        <v>108.4</v>
      </c>
      <c r="W111" s="487">
        <v>108.5</v>
      </c>
      <c r="X111" s="487">
        <v>107.9</v>
      </c>
      <c r="Y111" s="487">
        <f>X111</f>
        <v>107.9</v>
      </c>
      <c r="AN111" s="316">
        <f t="shared" si="21"/>
        <v>-53.350726518163341</v>
      </c>
      <c r="AO111" s="323">
        <f t="shared" si="22"/>
        <v>-0.38165596730011997</v>
      </c>
    </row>
    <row r="112" spans="1:52" x14ac:dyDescent="0.2">
      <c r="A112" s="260" t="s">
        <v>18</v>
      </c>
      <c r="B112" s="261" t="s">
        <v>323</v>
      </c>
      <c r="C112" s="282">
        <v>1</v>
      </c>
      <c r="D112" s="293"/>
      <c r="E112" s="293"/>
      <c r="F112" s="293"/>
      <c r="G112" s="294" t="s">
        <v>705</v>
      </c>
      <c r="H112" s="280"/>
      <c r="I112" s="280"/>
      <c r="J112" s="280"/>
      <c r="K112" s="280"/>
      <c r="L112" s="497">
        <v>19984</v>
      </c>
      <c r="M112" s="497">
        <v>17479</v>
      </c>
      <c r="N112" s="497">
        <v>11986</v>
      </c>
      <c r="O112" s="497">
        <v>19720</v>
      </c>
      <c r="P112" s="497">
        <v>19092</v>
      </c>
      <c r="Q112" s="497">
        <v>24875</v>
      </c>
      <c r="R112" s="497">
        <v>20347</v>
      </c>
      <c r="S112" s="498">
        <f>R112</f>
        <v>20347</v>
      </c>
      <c r="T112" s="498">
        <f>S112</f>
        <v>20347</v>
      </c>
      <c r="U112" s="498">
        <f>T112*1.01</f>
        <v>20550.47</v>
      </c>
      <c r="V112" s="498">
        <f>T112</f>
        <v>20347</v>
      </c>
      <c r="W112" s="498">
        <f>V112*1.01</f>
        <v>20550.47</v>
      </c>
      <c r="X112" s="498">
        <f>V112</f>
        <v>20347</v>
      </c>
      <c r="Y112" s="498">
        <f>X112*1.01</f>
        <v>20550.47</v>
      </c>
      <c r="AN112" s="316">
        <f t="shared" si="21"/>
        <v>5783</v>
      </c>
      <c r="AO112" s="323">
        <f t="shared" si="22"/>
        <v>0.30290173894825068</v>
      </c>
    </row>
    <row r="113" spans="1:41" hidden="1" x14ac:dyDescent="0.2">
      <c r="A113" s="260" t="s">
        <v>19</v>
      </c>
      <c r="B113" s="261"/>
      <c r="C113" s="282"/>
      <c r="D113" s="293"/>
      <c r="E113" s="293"/>
      <c r="F113" s="293"/>
      <c r="G113" s="294"/>
      <c r="H113" s="280"/>
      <c r="I113" s="280"/>
      <c r="J113" s="280"/>
      <c r="K113" s="280"/>
      <c r="L113" s="301"/>
      <c r="M113" s="301"/>
      <c r="N113" s="301"/>
      <c r="O113" s="301"/>
      <c r="P113" s="327"/>
      <c r="Q113" s="327"/>
      <c r="R113" s="327"/>
      <c r="S113" s="327"/>
      <c r="T113" s="327"/>
      <c r="U113" s="327"/>
      <c r="V113" s="327"/>
      <c r="W113" s="327"/>
      <c r="X113" s="327"/>
      <c r="Y113" s="327"/>
      <c r="AN113" s="316">
        <f t="shared" si="21"/>
        <v>0</v>
      </c>
      <c r="AO113" s="323" t="e">
        <f t="shared" si="22"/>
        <v>#DIV/0!</v>
      </c>
    </row>
    <row r="114" spans="1:41" hidden="1" x14ac:dyDescent="0.2">
      <c r="A114" s="260" t="s">
        <v>20</v>
      </c>
      <c r="B114" s="261" t="s">
        <v>21</v>
      </c>
      <c r="C114" s="282">
        <v>1</v>
      </c>
      <c r="D114" s="293"/>
      <c r="E114" s="293"/>
      <c r="F114" s="293"/>
      <c r="G114" s="294" t="s">
        <v>705</v>
      </c>
      <c r="H114" s="280"/>
      <c r="I114" s="280"/>
      <c r="J114" s="280"/>
      <c r="K114" s="280"/>
      <c r="L114" s="301"/>
      <c r="M114" s="301"/>
      <c r="N114" s="301"/>
      <c r="O114" s="301"/>
      <c r="P114" s="327"/>
      <c r="Q114" s="327"/>
      <c r="R114" s="327"/>
      <c r="S114" s="327"/>
      <c r="T114" s="327"/>
      <c r="U114" s="327"/>
      <c r="V114" s="327"/>
      <c r="W114" s="327"/>
      <c r="X114" s="327"/>
      <c r="Y114" s="327"/>
      <c r="AN114" s="316">
        <f t="shared" si="21"/>
        <v>0</v>
      </c>
      <c r="AO114" s="323" t="e">
        <f t="shared" si="22"/>
        <v>#DIV/0!</v>
      </c>
    </row>
    <row r="115" spans="1:41" hidden="1" x14ac:dyDescent="0.2">
      <c r="A115" s="260" t="s">
        <v>22</v>
      </c>
      <c r="B115" s="261" t="s">
        <v>21</v>
      </c>
      <c r="C115" s="282">
        <v>1</v>
      </c>
      <c r="D115" s="293"/>
      <c r="E115" s="293"/>
      <c r="F115" s="293"/>
      <c r="G115" s="294" t="s">
        <v>705</v>
      </c>
      <c r="H115" s="280"/>
      <c r="I115" s="280"/>
      <c r="J115" s="280"/>
      <c r="K115" s="280"/>
      <c r="L115" s="301"/>
      <c r="M115" s="301"/>
      <c r="N115" s="301"/>
      <c r="O115" s="301"/>
      <c r="P115" s="327"/>
      <c r="Q115" s="327"/>
      <c r="R115" s="327"/>
      <c r="S115" s="327"/>
      <c r="T115" s="327"/>
      <c r="U115" s="327"/>
      <c r="V115" s="327"/>
      <c r="W115" s="327"/>
      <c r="X115" s="327"/>
      <c r="Y115" s="327"/>
      <c r="AN115" s="316">
        <f t="shared" si="21"/>
        <v>0</v>
      </c>
      <c r="AO115" s="323" t="e">
        <f t="shared" si="22"/>
        <v>#DIV/0!</v>
      </c>
    </row>
    <row r="116" spans="1:41" x14ac:dyDescent="0.2">
      <c r="A116" s="260" t="s">
        <v>23</v>
      </c>
      <c r="B116" s="261" t="s">
        <v>21</v>
      </c>
      <c r="C116" s="282">
        <v>1</v>
      </c>
      <c r="D116" s="293"/>
      <c r="E116" s="293"/>
      <c r="F116" s="293"/>
      <c r="G116" s="294" t="s">
        <v>705</v>
      </c>
      <c r="H116" s="280"/>
      <c r="I116" s="280"/>
      <c r="J116" s="280"/>
      <c r="K116" s="280"/>
      <c r="L116" s="301"/>
      <c r="M116" s="416">
        <f>M112</f>
        <v>17479</v>
      </c>
      <c r="N116" s="416">
        <f t="shared" ref="N116:Y116" si="32">N112</f>
        <v>11986</v>
      </c>
      <c r="O116" s="416">
        <f t="shared" si="32"/>
        <v>19720</v>
      </c>
      <c r="P116" s="416">
        <f t="shared" si="32"/>
        <v>19092</v>
      </c>
      <c r="Q116" s="416">
        <f t="shared" si="32"/>
        <v>24875</v>
      </c>
      <c r="R116" s="416">
        <f t="shared" si="32"/>
        <v>20347</v>
      </c>
      <c r="S116" s="416">
        <f t="shared" si="32"/>
        <v>20347</v>
      </c>
      <c r="T116" s="416">
        <f t="shared" si="32"/>
        <v>20347</v>
      </c>
      <c r="U116" s="416">
        <f t="shared" si="32"/>
        <v>20550.47</v>
      </c>
      <c r="V116" s="416">
        <f t="shared" si="32"/>
        <v>20347</v>
      </c>
      <c r="W116" s="416">
        <f t="shared" si="32"/>
        <v>20550.47</v>
      </c>
      <c r="X116" s="416">
        <f t="shared" si="32"/>
        <v>20347</v>
      </c>
      <c r="Y116" s="416">
        <f t="shared" si="32"/>
        <v>20550.47</v>
      </c>
      <c r="AN116" s="316">
        <f t="shared" si="21"/>
        <v>5783</v>
      </c>
      <c r="AO116" s="323">
        <f t="shared" si="22"/>
        <v>0.30290173894825068</v>
      </c>
    </row>
    <row r="117" spans="1:41" ht="31.5" x14ac:dyDescent="0.2">
      <c r="A117" s="260" t="s">
        <v>25</v>
      </c>
      <c r="B117" s="261" t="s">
        <v>136</v>
      </c>
      <c r="C117" s="282">
        <v>1</v>
      </c>
      <c r="D117" s="293"/>
      <c r="E117" s="293"/>
      <c r="F117" s="293"/>
      <c r="G117" s="294" t="s">
        <v>705</v>
      </c>
      <c r="H117" s="280"/>
      <c r="I117" s="280"/>
      <c r="J117" s="280"/>
      <c r="K117" s="280"/>
      <c r="L117" s="301"/>
      <c r="M117" s="301"/>
      <c r="N117" s="301"/>
      <c r="O117" s="380">
        <f>0.61*1000</f>
        <v>610</v>
      </c>
      <c r="P117" s="327">
        <f>O117*P111/100</f>
        <v>852.70363794648335</v>
      </c>
      <c r="Q117" s="327">
        <f>P117*Q111/100</f>
        <v>737.04935536639346</v>
      </c>
      <c r="R117" s="327">
        <f>Q117*R111/100</f>
        <v>858.85231252205256</v>
      </c>
      <c r="S117" s="327">
        <f>R117*S111/100</f>
        <v>933.57246371147119</v>
      </c>
      <c r="T117" s="327">
        <f>S117*T111/100</f>
        <v>1030.6639999374643</v>
      </c>
      <c r="U117" s="327">
        <f>T117*1.01</f>
        <v>1040.970639936839</v>
      </c>
      <c r="V117" s="327">
        <f>T117*V111/100</f>
        <v>1117.2397759322114</v>
      </c>
      <c r="W117" s="327">
        <f>V117*1.01</f>
        <v>1128.4121736915336</v>
      </c>
      <c r="X117" s="327">
        <f>V117*X111/100</f>
        <v>1205.5017182308561</v>
      </c>
      <c r="Y117" s="327">
        <f>X117*1.01</f>
        <v>1217.5567354131647</v>
      </c>
      <c r="AN117" s="316">
        <f t="shared" si="21"/>
        <v>-115.6542825800899</v>
      </c>
      <c r="AO117" s="323">
        <f t="shared" si="22"/>
        <v>-0.13563244887592296</v>
      </c>
    </row>
    <row r="118" spans="1:41" hidden="1" x14ac:dyDescent="0.2">
      <c r="A118" s="260" t="s">
        <v>267</v>
      </c>
      <c r="B118" s="261"/>
      <c r="C118" s="282"/>
      <c r="D118" s="293"/>
      <c r="E118" s="293"/>
      <c r="F118" s="293"/>
      <c r="G118" s="294"/>
      <c r="H118" s="280"/>
      <c r="I118" s="280"/>
      <c r="J118" s="280"/>
      <c r="K118" s="280"/>
      <c r="L118" s="301"/>
      <c r="M118" s="301"/>
      <c r="N118" s="301"/>
      <c r="O118" s="301"/>
      <c r="P118" s="327"/>
      <c r="Q118" s="327"/>
      <c r="R118" s="327"/>
      <c r="S118" s="327"/>
      <c r="T118" s="327"/>
      <c r="U118" s="327"/>
      <c r="V118" s="327"/>
      <c r="W118" s="327"/>
      <c r="X118" s="327"/>
      <c r="Y118" s="327"/>
      <c r="AN118" s="316">
        <f t="shared" si="21"/>
        <v>0</v>
      </c>
      <c r="AO118" s="323" t="e">
        <f t="shared" si="22"/>
        <v>#DIV/0!</v>
      </c>
    </row>
    <row r="119" spans="1:41" hidden="1" x14ac:dyDescent="0.2">
      <c r="A119" s="260" t="s">
        <v>20</v>
      </c>
      <c r="B119" s="261" t="s">
        <v>136</v>
      </c>
      <c r="C119" s="282">
        <v>1</v>
      </c>
      <c r="D119" s="293"/>
      <c r="E119" s="293"/>
      <c r="F119" s="293"/>
      <c r="G119" s="294" t="s">
        <v>705</v>
      </c>
      <c r="H119" s="280"/>
      <c r="I119" s="280"/>
      <c r="J119" s="280"/>
      <c r="K119" s="280"/>
      <c r="L119" s="301"/>
      <c r="M119" s="301"/>
      <c r="N119" s="301"/>
      <c r="O119" s="301"/>
      <c r="P119" s="327"/>
      <c r="Q119" s="327"/>
      <c r="R119" s="327"/>
      <c r="S119" s="327"/>
      <c r="T119" s="327"/>
      <c r="U119" s="327"/>
      <c r="V119" s="327"/>
      <c r="W119" s="327"/>
      <c r="X119" s="327"/>
      <c r="Y119" s="327"/>
      <c r="AN119" s="316">
        <f t="shared" si="21"/>
        <v>0</v>
      </c>
      <c r="AO119" s="323" t="e">
        <f t="shared" si="22"/>
        <v>#DIV/0!</v>
      </c>
    </row>
    <row r="120" spans="1:41" hidden="1" x14ac:dyDescent="0.2">
      <c r="A120" s="260" t="s">
        <v>22</v>
      </c>
      <c r="B120" s="261" t="s">
        <v>136</v>
      </c>
      <c r="C120" s="282">
        <v>1</v>
      </c>
      <c r="D120" s="293"/>
      <c r="E120" s="293"/>
      <c r="F120" s="293"/>
      <c r="G120" s="294" t="s">
        <v>705</v>
      </c>
      <c r="H120" s="280"/>
      <c r="I120" s="280"/>
      <c r="J120" s="280"/>
      <c r="K120" s="280"/>
      <c r="L120" s="301"/>
      <c r="M120" s="301"/>
      <c r="N120" s="301"/>
      <c r="O120" s="301"/>
      <c r="P120" s="327"/>
      <c r="Q120" s="327"/>
      <c r="R120" s="327"/>
      <c r="S120" s="327"/>
      <c r="T120" s="327"/>
      <c r="U120" s="327"/>
      <c r="V120" s="327"/>
      <c r="W120" s="327"/>
      <c r="X120" s="327"/>
      <c r="Y120" s="327"/>
      <c r="AN120" s="316">
        <f t="shared" si="21"/>
        <v>0</v>
      </c>
      <c r="AO120" s="323" t="e">
        <f t="shared" si="22"/>
        <v>#DIV/0!</v>
      </c>
    </row>
    <row r="121" spans="1:41" x14ac:dyDescent="0.2">
      <c r="A121" s="260" t="s">
        <v>23</v>
      </c>
      <c r="B121" s="261" t="s">
        <v>136</v>
      </c>
      <c r="C121" s="282">
        <v>1</v>
      </c>
      <c r="D121" s="293"/>
      <c r="E121" s="293"/>
      <c r="F121" s="293"/>
      <c r="G121" s="294" t="s">
        <v>705</v>
      </c>
      <c r="H121" s="280"/>
      <c r="I121" s="280"/>
      <c r="J121" s="280"/>
      <c r="K121" s="280"/>
      <c r="L121" s="301"/>
      <c r="M121" s="301"/>
      <c r="N121" s="301"/>
      <c r="O121" s="380">
        <f>1.49*1000</f>
        <v>1490</v>
      </c>
      <c r="P121" s="327">
        <f>O121*P122/100</f>
        <v>2082.8334762955087</v>
      </c>
      <c r="Q121" s="327">
        <f>P121*Q122/100</f>
        <v>1800.3336713047975</v>
      </c>
      <c r="R121" s="327">
        <f>Q121*R122/100</f>
        <v>2097.8523699309158</v>
      </c>
      <c r="S121" s="327">
        <f>R121*S122/100</f>
        <v>2280.3655261149052</v>
      </c>
      <c r="T121" s="327">
        <f>S121*T122/100</f>
        <v>2517.5235408308554</v>
      </c>
      <c r="U121" s="327">
        <f>T121*1.01</f>
        <v>2542.6987762391641</v>
      </c>
      <c r="V121" s="327">
        <f>T121*V122/100</f>
        <v>2728.9955182606477</v>
      </c>
      <c r="W121" s="327">
        <f>V121*1.01</f>
        <v>2756.2854734432544</v>
      </c>
      <c r="X121" s="327">
        <f>V121*X122/100</f>
        <v>2944.5861642032392</v>
      </c>
      <c r="Y121" s="327">
        <f>X121*1.01</f>
        <v>2974.0320258452716</v>
      </c>
      <c r="AN121" s="316">
        <f t="shared" si="21"/>
        <v>-282.49980499071125</v>
      </c>
      <c r="AO121" s="323">
        <f t="shared" si="22"/>
        <v>-0.13563244887592285</v>
      </c>
    </row>
    <row r="122" spans="1:41" s="343" customFormat="1" ht="21" x14ac:dyDescent="0.2">
      <c r="A122" s="264" t="s">
        <v>982</v>
      </c>
      <c r="B122" s="261"/>
      <c r="C122" s="364">
        <v>1</v>
      </c>
      <c r="D122" s="365"/>
      <c r="E122" s="365"/>
      <c r="F122" s="365"/>
      <c r="G122" s="366" t="s">
        <v>704</v>
      </c>
      <c r="H122" s="367"/>
      <c r="I122" s="367"/>
      <c r="J122" s="367"/>
      <c r="K122" s="367"/>
      <c r="L122" s="358"/>
      <c r="M122" s="358"/>
      <c r="N122" s="358"/>
      <c r="O122" s="352">
        <f>O111</f>
        <v>131.32386229827978</v>
      </c>
      <c r="P122" s="353">
        <f t="shared" ref="P122:V122" si="33">P111</f>
        <v>139.78748163057105</v>
      </c>
      <c r="Q122" s="353">
        <f t="shared" si="33"/>
        <v>86.43675511240771</v>
      </c>
      <c r="R122" s="353">
        <f t="shared" si="33"/>
        <v>116.5257531627729</v>
      </c>
      <c r="S122" s="353">
        <f t="shared" si="33"/>
        <v>108.7</v>
      </c>
      <c r="T122" s="353">
        <f t="shared" si="33"/>
        <v>110.4</v>
      </c>
      <c r="U122" s="353"/>
      <c r="V122" s="353">
        <f t="shared" si="33"/>
        <v>108.4</v>
      </c>
      <c r="W122" s="353"/>
      <c r="X122" s="353">
        <f>X111</f>
        <v>107.9</v>
      </c>
      <c r="Y122" s="353"/>
      <c r="Z122" s="444"/>
      <c r="AA122" s="444"/>
      <c r="AB122" s="444"/>
      <c r="AC122" s="444"/>
      <c r="AD122" s="444"/>
      <c r="AE122" s="444"/>
      <c r="AF122" s="444"/>
      <c r="AG122" s="444"/>
      <c r="AH122" s="444"/>
      <c r="AI122" s="444"/>
      <c r="AJ122" s="444"/>
      <c r="AK122" s="444"/>
      <c r="AL122" s="444"/>
      <c r="AM122" s="444"/>
      <c r="AN122" s="362">
        <f t="shared" si="21"/>
        <v>-53.350726518163341</v>
      </c>
      <c r="AO122" s="363">
        <f t="shared" si="22"/>
        <v>-0.38165596730011997</v>
      </c>
    </row>
    <row r="123" spans="1:41" ht="27" hidden="1" x14ac:dyDescent="0.2">
      <c r="A123" s="260" t="s">
        <v>268</v>
      </c>
      <c r="B123" s="261" t="s">
        <v>137</v>
      </c>
      <c r="C123" s="282">
        <v>1</v>
      </c>
      <c r="D123" s="293"/>
      <c r="E123" s="293"/>
      <c r="F123" s="293"/>
      <c r="G123" s="294" t="s">
        <v>704</v>
      </c>
      <c r="H123" s="280"/>
      <c r="I123" s="280"/>
      <c r="J123" s="280"/>
      <c r="K123" s="280"/>
      <c r="L123" s="281"/>
      <c r="M123" s="281"/>
      <c r="N123" s="281"/>
      <c r="O123" s="281"/>
      <c r="P123" s="313"/>
      <c r="Q123" s="313"/>
      <c r="R123" s="313"/>
      <c r="S123" s="313"/>
      <c r="T123" s="313"/>
      <c r="U123" s="313"/>
      <c r="V123" s="313"/>
      <c r="W123" s="313"/>
      <c r="X123" s="313"/>
      <c r="Y123" s="313"/>
      <c r="AN123" s="316">
        <f t="shared" si="21"/>
        <v>0</v>
      </c>
      <c r="AO123" s="323" t="e">
        <f t="shared" si="22"/>
        <v>#DIV/0!</v>
      </c>
    </row>
    <row r="124" spans="1:41" ht="27" hidden="1" x14ac:dyDescent="0.2">
      <c r="A124" s="260" t="s">
        <v>269</v>
      </c>
      <c r="B124" s="261" t="s">
        <v>137</v>
      </c>
      <c r="C124" s="282">
        <v>1</v>
      </c>
      <c r="D124" s="293"/>
      <c r="E124" s="293"/>
      <c r="F124" s="293"/>
      <c r="G124" s="294" t="s">
        <v>704</v>
      </c>
      <c r="H124" s="280"/>
      <c r="I124" s="280"/>
      <c r="J124" s="280"/>
      <c r="K124" s="280"/>
      <c r="L124" s="281"/>
      <c r="M124" s="281"/>
      <c r="N124" s="281"/>
      <c r="O124" s="281"/>
      <c r="P124" s="313"/>
      <c r="Q124" s="313"/>
      <c r="R124" s="313"/>
      <c r="S124" s="313"/>
      <c r="T124" s="313"/>
      <c r="U124" s="313"/>
      <c r="V124" s="313"/>
      <c r="W124" s="313"/>
      <c r="X124" s="313"/>
      <c r="Y124" s="313"/>
      <c r="AN124" s="316">
        <f t="shared" si="21"/>
        <v>0</v>
      </c>
      <c r="AO124" s="323" t="e">
        <f t="shared" si="22"/>
        <v>#DIV/0!</v>
      </c>
    </row>
    <row r="125" spans="1:41" ht="27" hidden="1" x14ac:dyDescent="0.2">
      <c r="A125" s="260" t="s">
        <v>270</v>
      </c>
      <c r="B125" s="261" t="s">
        <v>137</v>
      </c>
      <c r="C125" s="282">
        <v>1</v>
      </c>
      <c r="D125" s="293"/>
      <c r="E125" s="293"/>
      <c r="F125" s="293"/>
      <c r="G125" s="294" t="s">
        <v>704</v>
      </c>
      <c r="H125" s="280"/>
      <c r="I125" s="280"/>
      <c r="J125" s="280"/>
      <c r="K125" s="280"/>
      <c r="L125" s="281"/>
      <c r="M125" s="281"/>
      <c r="N125" s="281"/>
      <c r="O125" s="281"/>
      <c r="P125" s="313"/>
      <c r="Q125" s="313"/>
      <c r="R125" s="313"/>
      <c r="S125" s="313"/>
      <c r="T125" s="313"/>
      <c r="U125" s="313"/>
      <c r="V125" s="313"/>
      <c r="W125" s="313"/>
      <c r="X125" s="313"/>
      <c r="Y125" s="313"/>
      <c r="AN125" s="316">
        <f t="shared" si="21"/>
        <v>0</v>
      </c>
      <c r="AO125" s="323" t="e">
        <f t="shared" si="22"/>
        <v>#DIV/0!</v>
      </c>
    </row>
    <row r="126" spans="1:41" ht="14.25" x14ac:dyDescent="0.2">
      <c r="A126" s="292" t="s">
        <v>380</v>
      </c>
      <c r="B126" s="261"/>
      <c r="C126" s="282"/>
      <c r="D126" s="293"/>
      <c r="E126" s="293"/>
      <c r="F126" s="293"/>
      <c r="G126" s="294"/>
      <c r="H126" s="280"/>
      <c r="I126" s="280"/>
      <c r="J126" s="280"/>
      <c r="K126" s="280"/>
      <c r="L126" s="281"/>
      <c r="M126" s="281"/>
      <c r="N126" s="281"/>
      <c r="O126" s="281"/>
      <c r="P126" s="313"/>
      <c r="Q126" s="313"/>
      <c r="R126" s="313"/>
      <c r="S126" s="313"/>
      <c r="T126" s="313"/>
      <c r="U126" s="313"/>
      <c r="V126" s="313"/>
      <c r="W126" s="313"/>
      <c r="X126" s="313"/>
      <c r="Y126" s="313"/>
      <c r="AN126" s="316">
        <f t="shared" si="21"/>
        <v>0</v>
      </c>
      <c r="AO126" s="323" t="e">
        <f t="shared" si="22"/>
        <v>#DIV/0!</v>
      </c>
    </row>
    <row r="127" spans="1:41" x14ac:dyDescent="0.2">
      <c r="A127" s="260" t="s">
        <v>983</v>
      </c>
      <c r="B127" s="261" t="s">
        <v>578</v>
      </c>
      <c r="C127" s="282">
        <v>1</v>
      </c>
      <c r="D127" s="293"/>
      <c r="E127" s="293"/>
      <c r="F127" s="293"/>
      <c r="G127" s="294" t="s">
        <v>705</v>
      </c>
      <c r="H127" s="280"/>
      <c r="I127" s="280"/>
      <c r="J127" s="280"/>
      <c r="K127" s="280"/>
      <c r="L127" s="281"/>
      <c r="M127" s="281"/>
      <c r="N127" s="281"/>
      <c r="O127" s="313">
        <f t="shared" ref="O127:T127" si="34">O134</f>
        <v>50</v>
      </c>
      <c r="P127" s="313">
        <f t="shared" si="34"/>
        <v>68.400000000000006</v>
      </c>
      <c r="Q127" s="313">
        <f t="shared" si="34"/>
        <v>54.6</v>
      </c>
      <c r="R127" s="313">
        <f t="shared" si="34"/>
        <v>62.763130418229487</v>
      </c>
      <c r="S127" s="313">
        <f t="shared" si="34"/>
        <v>78.310326271742326</v>
      </c>
      <c r="T127" s="313">
        <f t="shared" si="34"/>
        <v>77.622930366171715</v>
      </c>
      <c r="U127" s="313">
        <f t="shared" ref="U127:Y129" si="35">U134</f>
        <v>78.623157268890097</v>
      </c>
      <c r="V127" s="313">
        <f t="shared" si="35"/>
        <v>81.893921721217197</v>
      </c>
      <c r="W127" s="313">
        <f t="shared" si="35"/>
        <v>83.459822043911586</v>
      </c>
      <c r="X127" s="313">
        <f t="shared" si="35"/>
        <v>85.216426337833923</v>
      </c>
      <c r="Y127" s="313">
        <f t="shared" si="35"/>
        <v>87.54676149580547</v>
      </c>
      <c r="AN127" s="316">
        <f t="shared" si="21"/>
        <v>-13.800000000000004</v>
      </c>
      <c r="AO127" s="323">
        <f t="shared" si="22"/>
        <v>-0.20175438596491235</v>
      </c>
    </row>
    <row r="128" spans="1:41" s="356" customFormat="1" ht="18" x14ac:dyDescent="0.2">
      <c r="A128" s="347" t="s">
        <v>984</v>
      </c>
      <c r="B128" s="283" t="s">
        <v>898</v>
      </c>
      <c r="C128" s="348">
        <v>1</v>
      </c>
      <c r="D128" s="349"/>
      <c r="E128" s="349"/>
      <c r="F128" s="349"/>
      <c r="G128" s="350" t="s">
        <v>704</v>
      </c>
      <c r="H128" s="351"/>
      <c r="I128" s="351"/>
      <c r="J128" s="351"/>
      <c r="K128" s="351"/>
      <c r="L128" s="352"/>
      <c r="M128" s="352"/>
      <c r="N128" s="352"/>
      <c r="O128" s="352"/>
      <c r="P128" s="353">
        <f t="shared" ref="P128:T129" si="36">P135</f>
        <v>130.28571428571431</v>
      </c>
      <c r="Q128" s="353">
        <f t="shared" si="36"/>
        <v>76.46030785776702</v>
      </c>
      <c r="R128" s="353">
        <f t="shared" si="36"/>
        <v>103.37301107174066</v>
      </c>
      <c r="S128" s="353">
        <f t="shared" si="36"/>
        <v>103.37301107174066</v>
      </c>
      <c r="T128" s="353">
        <f t="shared" si="36"/>
        <v>94.40211000041613</v>
      </c>
      <c r="U128" s="353">
        <f t="shared" si="35"/>
        <v>95.346131100420294</v>
      </c>
      <c r="V128" s="353">
        <f t="shared" si="35"/>
        <v>100.38271071463248</v>
      </c>
      <c r="W128" s="353">
        <f t="shared" si="35"/>
        <v>101.3865378217788</v>
      </c>
      <c r="X128" s="353">
        <f t="shared" si="35"/>
        <v>99.385943928929763</v>
      </c>
      <c r="Y128" s="353">
        <f t="shared" si="35"/>
        <v>100.37980336821906</v>
      </c>
      <c r="Z128" s="439"/>
      <c r="AA128" s="439"/>
      <c r="AB128" s="439"/>
      <c r="AC128" s="439"/>
      <c r="AD128" s="439"/>
      <c r="AE128" s="439"/>
      <c r="AF128" s="439"/>
      <c r="AG128" s="439"/>
      <c r="AH128" s="439"/>
      <c r="AI128" s="439"/>
      <c r="AJ128" s="439"/>
      <c r="AK128" s="439"/>
      <c r="AL128" s="439"/>
      <c r="AM128" s="439"/>
      <c r="AN128" s="354">
        <f t="shared" si="21"/>
        <v>-53.825406427947286</v>
      </c>
      <c r="AO128" s="355">
        <f t="shared" si="22"/>
        <v>-0.41313360196889359</v>
      </c>
    </row>
    <row r="129" spans="1:41" s="356" customFormat="1" ht="18" x14ac:dyDescent="0.2">
      <c r="A129" s="347" t="s">
        <v>29</v>
      </c>
      <c r="B129" s="283" t="s">
        <v>898</v>
      </c>
      <c r="C129" s="348">
        <v>1</v>
      </c>
      <c r="D129" s="349"/>
      <c r="E129" s="349"/>
      <c r="F129" s="349"/>
      <c r="G129" s="350" t="s">
        <v>706</v>
      </c>
      <c r="H129" s="351"/>
      <c r="I129" s="351"/>
      <c r="J129" s="351"/>
      <c r="K129" s="351"/>
      <c r="L129" s="352"/>
      <c r="M129" s="352"/>
      <c r="N129" s="352"/>
      <c r="O129" s="352"/>
      <c r="P129" s="353">
        <f t="shared" si="36"/>
        <v>105</v>
      </c>
      <c r="Q129" s="353">
        <f t="shared" si="36"/>
        <v>104.4</v>
      </c>
      <c r="R129" s="353">
        <f t="shared" si="36"/>
        <v>111.2</v>
      </c>
      <c r="S129" s="353">
        <f t="shared" si="36"/>
        <v>120.7</v>
      </c>
      <c r="T129" s="353">
        <f t="shared" si="36"/>
        <v>105</v>
      </c>
      <c r="U129" s="353">
        <f t="shared" si="35"/>
        <v>105.3</v>
      </c>
      <c r="V129" s="353">
        <f t="shared" si="35"/>
        <v>105.1</v>
      </c>
      <c r="W129" s="353">
        <f t="shared" si="35"/>
        <v>104.7</v>
      </c>
      <c r="X129" s="353">
        <f t="shared" si="35"/>
        <v>104.7</v>
      </c>
      <c r="Y129" s="353">
        <f t="shared" si="35"/>
        <v>104.5</v>
      </c>
      <c r="Z129" s="439"/>
      <c r="AA129" s="439"/>
      <c r="AB129" s="439"/>
      <c r="AC129" s="439"/>
      <c r="AD129" s="439"/>
      <c r="AE129" s="439"/>
      <c r="AF129" s="439"/>
      <c r="AG129" s="439"/>
      <c r="AH129" s="439"/>
      <c r="AI129" s="439"/>
      <c r="AJ129" s="439"/>
      <c r="AK129" s="439"/>
      <c r="AL129" s="439"/>
      <c r="AM129" s="439"/>
      <c r="AN129" s="354">
        <f t="shared" si="21"/>
        <v>-0.59999999999999432</v>
      </c>
      <c r="AO129" s="355">
        <f t="shared" si="22"/>
        <v>-5.7142857142856718E-3</v>
      </c>
    </row>
    <row r="130" spans="1:41" ht="21" hidden="1" x14ac:dyDescent="0.2">
      <c r="A130" s="260" t="s">
        <v>109</v>
      </c>
      <c r="B130" s="261"/>
      <c r="C130" s="282"/>
      <c r="D130" s="293"/>
      <c r="E130" s="293"/>
      <c r="F130" s="293"/>
      <c r="G130" s="294"/>
      <c r="H130" s="280"/>
      <c r="I130" s="280"/>
      <c r="J130" s="280"/>
      <c r="K130" s="280"/>
      <c r="L130" s="281"/>
      <c r="M130" s="281"/>
      <c r="N130" s="281"/>
      <c r="O130" s="281"/>
      <c r="P130" s="313"/>
      <c r="Q130" s="313"/>
      <c r="R130" s="313"/>
      <c r="S130" s="313"/>
      <c r="T130" s="313"/>
      <c r="U130" s="313"/>
      <c r="V130" s="313"/>
      <c r="W130" s="313"/>
      <c r="X130" s="313"/>
      <c r="Y130" s="313"/>
      <c r="AN130" s="316">
        <f t="shared" si="21"/>
        <v>0</v>
      </c>
      <c r="AO130" s="323" t="e">
        <f t="shared" si="22"/>
        <v>#DIV/0!</v>
      </c>
    </row>
    <row r="131" spans="1:41" hidden="1" x14ac:dyDescent="0.2">
      <c r="A131" s="260" t="s">
        <v>271</v>
      </c>
      <c r="B131" s="261" t="s">
        <v>578</v>
      </c>
      <c r="C131" s="282">
        <v>1</v>
      </c>
      <c r="D131" s="293"/>
      <c r="E131" s="293"/>
      <c r="F131" s="293"/>
      <c r="G131" s="294" t="s">
        <v>705</v>
      </c>
      <c r="H131" s="280"/>
      <c r="I131" s="280"/>
      <c r="J131" s="280"/>
      <c r="K131" s="280"/>
      <c r="L131" s="281"/>
      <c r="M131" s="281"/>
      <c r="N131" s="281"/>
      <c r="O131" s="281"/>
      <c r="P131" s="313"/>
      <c r="Q131" s="313"/>
      <c r="R131" s="313"/>
      <c r="S131" s="313"/>
      <c r="T131" s="313"/>
      <c r="U131" s="313"/>
      <c r="V131" s="313"/>
      <c r="W131" s="313"/>
      <c r="X131" s="313"/>
      <c r="Y131" s="313"/>
      <c r="AN131" s="316">
        <f t="shared" si="21"/>
        <v>0</v>
      </c>
      <c r="AO131" s="323" t="e">
        <f t="shared" si="22"/>
        <v>#DIV/0!</v>
      </c>
    </row>
    <row r="132" spans="1:41" s="356" customFormat="1" ht="9.75" hidden="1" x14ac:dyDescent="0.2">
      <c r="A132" s="347" t="s">
        <v>31</v>
      </c>
      <c r="B132" s="283" t="s">
        <v>898</v>
      </c>
      <c r="C132" s="348">
        <v>1</v>
      </c>
      <c r="D132" s="349"/>
      <c r="E132" s="349"/>
      <c r="F132" s="349"/>
      <c r="G132" s="350" t="s">
        <v>704</v>
      </c>
      <c r="H132" s="351"/>
      <c r="I132" s="351"/>
      <c r="J132" s="351"/>
      <c r="K132" s="351"/>
      <c r="L132" s="352"/>
      <c r="M132" s="352"/>
      <c r="N132" s="352"/>
      <c r="O132" s="352"/>
      <c r="P132" s="353"/>
      <c r="Q132" s="353"/>
      <c r="R132" s="353"/>
      <c r="S132" s="353"/>
      <c r="T132" s="353"/>
      <c r="U132" s="353"/>
      <c r="V132" s="353"/>
      <c r="W132" s="353"/>
      <c r="X132" s="353"/>
      <c r="Y132" s="353"/>
      <c r="Z132" s="439"/>
      <c r="AA132" s="439"/>
      <c r="AB132" s="439"/>
      <c r="AC132" s="439"/>
      <c r="AD132" s="439"/>
      <c r="AE132" s="439"/>
      <c r="AF132" s="439"/>
      <c r="AG132" s="439"/>
      <c r="AH132" s="439"/>
      <c r="AI132" s="439"/>
      <c r="AJ132" s="439"/>
      <c r="AK132" s="439"/>
      <c r="AL132" s="439"/>
      <c r="AM132" s="439"/>
      <c r="AN132" s="354">
        <f t="shared" si="21"/>
        <v>0</v>
      </c>
      <c r="AO132" s="355" t="e">
        <f t="shared" si="22"/>
        <v>#DIV/0!</v>
      </c>
    </row>
    <row r="133" spans="1:41" s="356" customFormat="1" ht="9.75" hidden="1" x14ac:dyDescent="0.2">
      <c r="A133" s="347" t="s">
        <v>32</v>
      </c>
      <c r="B133" s="283" t="s">
        <v>898</v>
      </c>
      <c r="C133" s="348">
        <v>1</v>
      </c>
      <c r="D133" s="349"/>
      <c r="E133" s="349"/>
      <c r="F133" s="349"/>
      <c r="G133" s="350" t="s">
        <v>706</v>
      </c>
      <c r="H133" s="351"/>
      <c r="I133" s="351"/>
      <c r="J133" s="351"/>
      <c r="K133" s="351"/>
      <c r="L133" s="352"/>
      <c r="M133" s="352"/>
      <c r="N133" s="352"/>
      <c r="O133" s="352"/>
      <c r="P133" s="353"/>
      <c r="Q133" s="353"/>
      <c r="R133" s="353"/>
      <c r="S133" s="353"/>
      <c r="T133" s="353"/>
      <c r="U133" s="353"/>
      <c r="V133" s="353"/>
      <c r="W133" s="353"/>
      <c r="X133" s="353"/>
      <c r="Y133" s="353"/>
      <c r="Z133" s="439"/>
      <c r="AA133" s="439"/>
      <c r="AB133" s="439"/>
      <c r="AC133" s="439"/>
      <c r="AD133" s="439"/>
      <c r="AE133" s="439"/>
      <c r="AF133" s="439"/>
      <c r="AG133" s="439"/>
      <c r="AH133" s="439"/>
      <c r="AI133" s="439"/>
      <c r="AJ133" s="439"/>
      <c r="AK133" s="439"/>
      <c r="AL133" s="439"/>
      <c r="AM133" s="439"/>
      <c r="AN133" s="354">
        <f t="shared" si="21"/>
        <v>0</v>
      </c>
      <c r="AO133" s="355" t="e">
        <f t="shared" si="22"/>
        <v>#DIV/0!</v>
      </c>
    </row>
    <row r="134" spans="1:41" x14ac:dyDescent="0.2">
      <c r="A134" s="260" t="s">
        <v>282</v>
      </c>
      <c r="B134" s="261" t="s">
        <v>578</v>
      </c>
      <c r="C134" s="282">
        <v>1</v>
      </c>
      <c r="D134" s="293"/>
      <c r="E134" s="293"/>
      <c r="F134" s="293"/>
      <c r="G134" s="294" t="s">
        <v>705</v>
      </c>
      <c r="H134" s="280"/>
      <c r="I134" s="280"/>
      <c r="J134" s="280"/>
      <c r="K134" s="280"/>
      <c r="L134" s="281"/>
      <c r="M134" s="281"/>
      <c r="N134" s="281"/>
      <c r="O134" s="499">
        <v>50</v>
      </c>
      <c r="P134" s="328">
        <v>68.400000000000006</v>
      </c>
      <c r="Q134" s="328">
        <v>54.6</v>
      </c>
      <c r="R134" s="313">
        <f>Q134*R135*R136/100/100</f>
        <v>62.763130418229487</v>
      </c>
      <c r="S134" s="313">
        <f>R134*S135*S136/100/100</f>
        <v>78.310326271742326</v>
      </c>
      <c r="T134" s="313">
        <f>S134*T135*T136/100/100</f>
        <v>77.622930366171715</v>
      </c>
      <c r="U134" s="313">
        <f>S134*U135/100*U136/100</f>
        <v>78.623157268890097</v>
      </c>
      <c r="V134" s="313">
        <f>T134*V135*V136/100/100</f>
        <v>81.893921721217197</v>
      </c>
      <c r="W134" s="313">
        <f>U134*W135/100*W136/100</f>
        <v>83.459822043911586</v>
      </c>
      <c r="X134" s="313">
        <f>V134*X135*X136/100/100</f>
        <v>85.216426337833923</v>
      </c>
      <c r="Y134" s="313">
        <f>W134*Y135/100*Y136/100</f>
        <v>87.54676149580547</v>
      </c>
      <c r="AN134" s="316">
        <f t="shared" si="21"/>
        <v>-13.800000000000004</v>
      </c>
      <c r="AO134" s="323">
        <f t="shared" si="22"/>
        <v>-0.20175438596491235</v>
      </c>
    </row>
    <row r="135" spans="1:41" s="356" customFormat="1" ht="9.75" x14ac:dyDescent="0.2">
      <c r="A135" s="347" t="s">
        <v>34</v>
      </c>
      <c r="B135" s="283" t="s">
        <v>898</v>
      </c>
      <c r="C135" s="348">
        <v>1</v>
      </c>
      <c r="D135" s="349"/>
      <c r="E135" s="349"/>
      <c r="F135" s="349"/>
      <c r="G135" s="350" t="s">
        <v>704</v>
      </c>
      <c r="H135" s="351"/>
      <c r="I135" s="351"/>
      <c r="J135" s="351"/>
      <c r="K135" s="351"/>
      <c r="L135" s="352"/>
      <c r="M135" s="352"/>
      <c r="N135" s="352"/>
      <c r="O135" s="386"/>
      <c r="P135" s="388">
        <f>P134/O134/P136*100*100</f>
        <v>130.28571428571431</v>
      </c>
      <c r="Q135" s="353">
        <f>Q134/P134/Q136*100*100</f>
        <v>76.46030785776702</v>
      </c>
      <c r="R135" s="353">
        <f>AVERAGE(O135:P135,Q135)</f>
        <v>103.37301107174066</v>
      </c>
      <c r="S135" s="353">
        <f>AVERAGE(P135:Q135,R135)</f>
        <v>103.37301107174066</v>
      </c>
      <c r="T135" s="353">
        <f>AVERAGE(Q135:R135,S135)</f>
        <v>94.40211000041613</v>
      </c>
      <c r="U135" s="353">
        <f>T135*1.01</f>
        <v>95.346131100420294</v>
      </c>
      <c r="V135" s="353">
        <f>AVERAGE(R135:S135,T135)</f>
        <v>100.38271071463248</v>
      </c>
      <c r="W135" s="353">
        <f>V135*1.01</f>
        <v>101.3865378217788</v>
      </c>
      <c r="X135" s="353">
        <f>AVERAGE(S135:T135,V135)</f>
        <v>99.385943928929763</v>
      </c>
      <c r="Y135" s="353">
        <f>X135*1.01</f>
        <v>100.37980336821906</v>
      </c>
      <c r="Z135" s="439"/>
      <c r="AA135" s="439"/>
      <c r="AB135" s="439"/>
      <c r="AC135" s="439"/>
      <c r="AD135" s="439"/>
      <c r="AE135" s="439"/>
      <c r="AF135" s="439"/>
      <c r="AG135" s="439"/>
      <c r="AH135" s="439"/>
      <c r="AI135" s="439"/>
      <c r="AJ135" s="439"/>
      <c r="AK135" s="439"/>
      <c r="AL135" s="439"/>
      <c r="AM135" s="439"/>
      <c r="AN135" s="354">
        <f t="shared" si="21"/>
        <v>-53.825406427947286</v>
      </c>
      <c r="AO135" s="355">
        <f t="shared" si="22"/>
        <v>-0.41313360196889359</v>
      </c>
    </row>
    <row r="136" spans="1:41" s="356" customFormat="1" ht="9.75" x14ac:dyDescent="0.2">
      <c r="A136" s="347" t="s">
        <v>35</v>
      </c>
      <c r="B136" s="283" t="s">
        <v>898</v>
      </c>
      <c r="C136" s="348">
        <v>1</v>
      </c>
      <c r="D136" s="349"/>
      <c r="E136" s="349"/>
      <c r="F136" s="349"/>
      <c r="G136" s="350" t="s">
        <v>706</v>
      </c>
      <c r="H136" s="351"/>
      <c r="I136" s="351"/>
      <c r="J136" s="351"/>
      <c r="K136" s="351"/>
      <c r="L136" s="352"/>
      <c r="M136" s="352"/>
      <c r="N136" s="352"/>
      <c r="O136" s="386"/>
      <c r="P136" s="388">
        <v>105</v>
      </c>
      <c r="Q136" s="486">
        <v>104.4</v>
      </c>
      <c r="R136" s="486">
        <v>111.2</v>
      </c>
      <c r="S136" s="486">
        <v>120.7</v>
      </c>
      <c r="T136" s="486">
        <v>105</v>
      </c>
      <c r="U136" s="486">
        <v>105.3</v>
      </c>
      <c r="V136" s="486">
        <v>105.1</v>
      </c>
      <c r="W136" s="486">
        <v>104.7</v>
      </c>
      <c r="X136" s="486">
        <v>104.7</v>
      </c>
      <c r="Y136" s="486">
        <v>104.5</v>
      </c>
      <c r="Z136" s="439"/>
      <c r="AA136" s="439"/>
      <c r="AB136" s="439"/>
      <c r="AC136" s="439"/>
      <c r="AD136" s="439"/>
      <c r="AE136" s="439"/>
      <c r="AF136" s="439"/>
      <c r="AG136" s="439"/>
      <c r="AH136" s="439"/>
      <c r="AI136" s="439"/>
      <c r="AJ136" s="439"/>
      <c r="AK136" s="439"/>
      <c r="AL136" s="439"/>
      <c r="AM136" s="439"/>
      <c r="AN136" s="354">
        <f t="shared" si="21"/>
        <v>-0.59999999999999432</v>
      </c>
      <c r="AO136" s="355">
        <f t="shared" si="22"/>
        <v>-5.7142857142856718E-3</v>
      </c>
    </row>
    <row r="137" spans="1:41" ht="14.25" x14ac:dyDescent="0.2">
      <c r="A137" s="292" t="s">
        <v>381</v>
      </c>
      <c r="B137" s="261"/>
      <c r="C137" s="282"/>
      <c r="D137" s="293"/>
      <c r="E137" s="293"/>
      <c r="F137" s="293"/>
      <c r="G137" s="294"/>
      <c r="H137" s="280"/>
      <c r="I137" s="280"/>
      <c r="J137" s="280"/>
      <c r="K137" s="280"/>
      <c r="L137" s="281"/>
      <c r="M137" s="281"/>
      <c r="N137" s="281"/>
      <c r="O137" s="281"/>
      <c r="P137" s="313"/>
      <c r="Q137" s="313"/>
      <c r="R137" s="313"/>
      <c r="S137" s="313"/>
      <c r="T137" s="313"/>
      <c r="U137" s="313"/>
      <c r="V137" s="313"/>
      <c r="W137" s="313"/>
      <c r="X137" s="313"/>
      <c r="Y137" s="313"/>
      <c r="AN137" s="316">
        <f t="shared" si="21"/>
        <v>0</v>
      </c>
      <c r="AO137" s="323" t="e">
        <f t="shared" si="22"/>
        <v>#DIV/0!</v>
      </c>
    </row>
    <row r="138" spans="1:41" ht="14.25" x14ac:dyDescent="0.2">
      <c r="A138" s="292" t="s">
        <v>382</v>
      </c>
      <c r="B138" s="261"/>
      <c r="C138" s="282"/>
      <c r="D138" s="293"/>
      <c r="E138" s="293"/>
      <c r="F138" s="293"/>
      <c r="G138" s="294"/>
      <c r="H138" s="280"/>
      <c r="I138" s="280"/>
      <c r="J138" s="280"/>
      <c r="K138" s="280"/>
      <c r="L138" s="281"/>
      <c r="M138" s="281"/>
      <c r="N138" s="281"/>
      <c r="O138" s="281"/>
      <c r="P138" s="313"/>
      <c r="Q138" s="313"/>
      <c r="R138" s="313"/>
      <c r="S138" s="313"/>
      <c r="T138" s="313"/>
      <c r="U138" s="313"/>
      <c r="V138" s="313"/>
      <c r="W138" s="313"/>
      <c r="X138" s="313"/>
      <c r="Y138" s="313"/>
      <c r="AN138" s="316">
        <f t="shared" si="21"/>
        <v>0</v>
      </c>
      <c r="AO138" s="323" t="e">
        <f t="shared" si="22"/>
        <v>#DIV/0!</v>
      </c>
    </row>
    <row r="139" spans="1:41" ht="42" x14ac:dyDescent="0.2">
      <c r="A139" s="260" t="s">
        <v>104</v>
      </c>
      <c r="B139" s="261" t="s">
        <v>481</v>
      </c>
      <c r="C139" s="282">
        <v>1</v>
      </c>
      <c r="D139" s="293"/>
      <c r="E139" s="293"/>
      <c r="F139" s="293"/>
      <c r="G139" s="294" t="s">
        <v>705</v>
      </c>
      <c r="H139" s="280"/>
      <c r="I139" s="280"/>
      <c r="J139" s="280"/>
      <c r="K139" s="280"/>
      <c r="L139" s="500">
        <v>50.2</v>
      </c>
      <c r="M139" s="500">
        <v>50.2</v>
      </c>
      <c r="N139" s="500">
        <v>50.2</v>
      </c>
      <c r="O139" s="500">
        <v>50.2</v>
      </c>
      <c r="P139" s="428">
        <v>50.2</v>
      </c>
      <c r="Q139" s="328">
        <v>61.44</v>
      </c>
      <c r="R139" s="328">
        <v>61.44</v>
      </c>
      <c r="S139" s="328">
        <v>61.44</v>
      </c>
      <c r="T139" s="328">
        <v>61.44</v>
      </c>
      <c r="U139" s="328">
        <v>61.44</v>
      </c>
      <c r="V139" s="328">
        <v>61.44</v>
      </c>
      <c r="W139" s="328">
        <v>61.44</v>
      </c>
      <c r="X139" s="328">
        <v>61.44</v>
      </c>
      <c r="Y139" s="328">
        <v>61.44</v>
      </c>
      <c r="AN139" s="316">
        <f t="shared" si="21"/>
        <v>11.239999999999995</v>
      </c>
      <c r="AO139" s="323">
        <f t="shared" si="22"/>
        <v>0.22390438247011946</v>
      </c>
    </row>
    <row r="140" spans="1:41" hidden="1" x14ac:dyDescent="0.2">
      <c r="A140" s="260" t="s">
        <v>283</v>
      </c>
      <c r="B140" s="261" t="s">
        <v>481</v>
      </c>
      <c r="C140" s="282">
        <v>1</v>
      </c>
      <c r="D140" s="293"/>
      <c r="E140" s="293"/>
      <c r="F140" s="293"/>
      <c r="G140" s="294" t="s">
        <v>705</v>
      </c>
      <c r="H140" s="280"/>
      <c r="I140" s="280"/>
      <c r="J140" s="280"/>
      <c r="K140" s="280"/>
      <c r="L140" s="500"/>
      <c r="M140" s="500"/>
      <c r="N140" s="500"/>
      <c r="O140" s="500"/>
      <c r="P140" s="428"/>
      <c r="Q140" s="428"/>
      <c r="R140" s="428"/>
      <c r="S140" s="428"/>
      <c r="T140" s="428"/>
      <c r="U140" s="428"/>
      <c r="V140" s="428"/>
      <c r="W140" s="428"/>
      <c r="X140" s="428"/>
      <c r="Y140" s="428"/>
      <c r="AN140" s="316">
        <f t="shared" si="21"/>
        <v>0</v>
      </c>
      <c r="AO140" s="323" t="e">
        <f t="shared" si="22"/>
        <v>#DIV/0!</v>
      </c>
    </row>
    <row r="141" spans="1:41" ht="21" hidden="1" x14ac:dyDescent="0.2">
      <c r="A141" s="260" t="s">
        <v>986</v>
      </c>
      <c r="B141" s="261" t="s">
        <v>987</v>
      </c>
      <c r="C141" s="282"/>
      <c r="D141" s="293"/>
      <c r="E141" s="293"/>
      <c r="F141" s="293"/>
      <c r="G141" s="294"/>
      <c r="H141" s="280"/>
      <c r="I141" s="280"/>
      <c r="J141" s="280"/>
      <c r="K141" s="280"/>
      <c r="L141" s="500"/>
      <c r="M141" s="500"/>
      <c r="N141" s="500"/>
      <c r="O141" s="500"/>
      <c r="P141" s="428"/>
      <c r="Q141" s="428"/>
      <c r="R141" s="428"/>
      <c r="S141" s="428"/>
      <c r="T141" s="428"/>
      <c r="U141" s="428"/>
      <c r="V141" s="428"/>
      <c r="W141" s="428"/>
      <c r="X141" s="428"/>
      <c r="Y141" s="428"/>
      <c r="Z141" s="31">
        <f>Z142*AD141/AD142</f>
        <v>4352.6892162558197</v>
      </c>
      <c r="AD141" s="31">
        <v>10000</v>
      </c>
      <c r="AE141" s="31" t="s">
        <v>1134</v>
      </c>
      <c r="AF141" s="31">
        <f>Z142*AD141/AD142</f>
        <v>4352.6892162558197</v>
      </c>
      <c r="AN141" s="316"/>
      <c r="AO141" s="323"/>
    </row>
    <row r="142" spans="1:41" ht="21" x14ac:dyDescent="0.2">
      <c r="A142" s="260" t="s">
        <v>985</v>
      </c>
      <c r="B142" s="261" t="s">
        <v>987</v>
      </c>
      <c r="C142" s="282"/>
      <c r="D142" s="293"/>
      <c r="E142" s="293"/>
      <c r="F142" s="293"/>
      <c r="G142" s="294"/>
      <c r="H142" s="280"/>
      <c r="I142" s="280"/>
      <c r="J142" s="280"/>
      <c r="K142" s="280"/>
      <c r="L142" s="500"/>
      <c r="M142" s="500"/>
      <c r="N142" s="500"/>
      <c r="O142" s="500">
        <f>O139*$AD$141/$AD$142</f>
        <v>4352.6892162558197</v>
      </c>
      <c r="P142" s="500">
        <f t="shared" ref="P142:Y142" si="37">P139*$AD$141/$AD$142</f>
        <v>4352.6892162558197</v>
      </c>
      <c r="Q142" s="500">
        <f t="shared" si="37"/>
        <v>5327.2754073059277</v>
      </c>
      <c r="R142" s="500">
        <f t="shared" si="37"/>
        <v>5327.2754073059277</v>
      </c>
      <c r="S142" s="500">
        <f t="shared" si="37"/>
        <v>5327.2754073059277</v>
      </c>
      <c r="T142" s="500">
        <f t="shared" si="37"/>
        <v>5327.2754073059277</v>
      </c>
      <c r="U142" s="500">
        <f t="shared" si="37"/>
        <v>5327.2754073059277</v>
      </c>
      <c r="V142" s="500">
        <f t="shared" si="37"/>
        <v>5327.2754073059277</v>
      </c>
      <c r="W142" s="500">
        <f t="shared" si="37"/>
        <v>5327.2754073059277</v>
      </c>
      <c r="X142" s="500">
        <f t="shared" si="37"/>
        <v>5327.2754073059277</v>
      </c>
      <c r="Y142" s="500">
        <f t="shared" si="37"/>
        <v>5327.2754073059277</v>
      </c>
      <c r="Z142" s="501">
        <f>O139</f>
        <v>50.2</v>
      </c>
      <c r="AA142" s="31" t="s">
        <v>1135</v>
      </c>
      <c r="AB142" s="31">
        <v>11533.1</v>
      </c>
      <c r="AC142" s="31" t="s">
        <v>1133</v>
      </c>
      <c r="AD142" s="31">
        <f>AB142/100</f>
        <v>115.331</v>
      </c>
      <c r="AE142" s="31" t="s">
        <v>1134</v>
      </c>
      <c r="AF142" s="31">
        <f>Z142/AD142</f>
        <v>0.43526892162558201</v>
      </c>
      <c r="AN142" s="316"/>
      <c r="AO142" s="323"/>
    </row>
    <row r="143" spans="1:41" ht="27" hidden="1" x14ac:dyDescent="0.2">
      <c r="A143" s="260" t="s">
        <v>985</v>
      </c>
      <c r="B143" s="261" t="s">
        <v>43</v>
      </c>
      <c r="C143" s="282">
        <v>1</v>
      </c>
      <c r="D143" s="293"/>
      <c r="E143" s="293"/>
      <c r="F143" s="293"/>
      <c r="G143" s="294" t="s">
        <v>705</v>
      </c>
      <c r="H143" s="280"/>
      <c r="I143" s="280"/>
      <c r="J143" s="280"/>
      <c r="K143" s="280"/>
      <c r="L143" s="500"/>
      <c r="M143" s="500">
        <f t="shared" ref="M143:Y143" si="38">M139*1000/115.331</f>
        <v>435.26892162558198</v>
      </c>
      <c r="N143" s="500">
        <f t="shared" si="38"/>
        <v>435.26892162558198</v>
      </c>
      <c r="O143" s="500">
        <f t="shared" si="38"/>
        <v>435.26892162558198</v>
      </c>
      <c r="P143" s="428">
        <f t="shared" si="38"/>
        <v>435.26892162558198</v>
      </c>
      <c r="Q143" s="328">
        <f t="shared" si="38"/>
        <v>532.72754073059275</v>
      </c>
      <c r="R143" s="328">
        <f t="shared" si="38"/>
        <v>532.72754073059275</v>
      </c>
      <c r="S143" s="328">
        <f t="shared" si="38"/>
        <v>532.72754073059275</v>
      </c>
      <c r="T143" s="328">
        <f t="shared" si="38"/>
        <v>532.72754073059275</v>
      </c>
      <c r="U143" s="328">
        <f t="shared" si="38"/>
        <v>532.72754073059275</v>
      </c>
      <c r="V143" s="328">
        <f t="shared" si="38"/>
        <v>532.72754073059275</v>
      </c>
      <c r="W143" s="328">
        <f t="shared" si="38"/>
        <v>532.72754073059275</v>
      </c>
      <c r="X143" s="328">
        <f t="shared" si="38"/>
        <v>532.72754073059275</v>
      </c>
      <c r="Y143" s="328">
        <f t="shared" si="38"/>
        <v>532.72754073059275</v>
      </c>
      <c r="Z143" s="267"/>
      <c r="AA143" s="267"/>
      <c r="AB143" s="267"/>
      <c r="AC143" s="267"/>
      <c r="AD143" s="267"/>
      <c r="AE143" s="267"/>
      <c r="AF143" s="267"/>
      <c r="AG143" s="267"/>
      <c r="AH143" s="267"/>
      <c r="AI143" s="267"/>
      <c r="AJ143" s="267"/>
      <c r="AK143" s="267"/>
      <c r="AL143" s="267"/>
      <c r="AM143" s="267"/>
      <c r="AN143" s="316">
        <f t="shared" si="21"/>
        <v>97.458619105010769</v>
      </c>
      <c r="AO143" s="323">
        <f t="shared" si="22"/>
        <v>0.22390438247011946</v>
      </c>
    </row>
    <row r="144" spans="1:41" s="288" customFormat="1" ht="42" x14ac:dyDescent="0.2">
      <c r="A144" s="263" t="s">
        <v>44</v>
      </c>
      <c r="B144" s="283" t="s">
        <v>469</v>
      </c>
      <c r="C144" s="284">
        <v>1</v>
      </c>
      <c r="D144" s="299"/>
      <c r="E144" s="299"/>
      <c r="F144" s="299"/>
      <c r="G144" s="300" t="s">
        <v>705</v>
      </c>
      <c r="H144" s="287"/>
      <c r="I144" s="287"/>
      <c r="J144" s="287"/>
      <c r="K144" s="287"/>
      <c r="L144" s="502">
        <f>50.2/96.9</f>
        <v>0.51805985552115585</v>
      </c>
      <c r="M144" s="503">
        <f>M139/96.9</f>
        <v>0.51805985552115585</v>
      </c>
      <c r="N144" s="503">
        <f>N139/96.9</f>
        <v>0.51805985552115585</v>
      </c>
      <c r="O144" s="503">
        <f>O139/96.9</f>
        <v>0.51805985552115585</v>
      </c>
      <c r="P144" s="503">
        <f>P139/96.9</f>
        <v>0.51805985552115585</v>
      </c>
      <c r="Q144" s="504">
        <f>Q139/102</f>
        <v>0.60235294117647054</v>
      </c>
      <c r="R144" s="504">
        <f t="shared" ref="R144:Y144" si="39">R139/102</f>
        <v>0.60235294117647054</v>
      </c>
      <c r="S144" s="504">
        <f t="shared" si="39"/>
        <v>0.60235294117647054</v>
      </c>
      <c r="T144" s="504">
        <f t="shared" si="39"/>
        <v>0.60235294117647054</v>
      </c>
      <c r="U144" s="504">
        <f t="shared" si="39"/>
        <v>0.60235294117647054</v>
      </c>
      <c r="V144" s="504">
        <f t="shared" si="39"/>
        <v>0.60235294117647054</v>
      </c>
      <c r="W144" s="504">
        <f t="shared" si="39"/>
        <v>0.60235294117647054</v>
      </c>
      <c r="X144" s="504">
        <f t="shared" si="39"/>
        <v>0.60235294117647054</v>
      </c>
      <c r="Y144" s="504">
        <f t="shared" si="39"/>
        <v>0.60235294117647054</v>
      </c>
      <c r="Z144" s="481"/>
      <c r="AA144" s="481"/>
      <c r="AB144" s="481"/>
      <c r="AC144" s="481"/>
      <c r="AD144" s="481"/>
      <c r="AE144" s="481"/>
      <c r="AF144" s="481"/>
      <c r="AG144" s="481"/>
      <c r="AH144" s="481"/>
      <c r="AI144" s="481"/>
      <c r="AJ144" s="481"/>
      <c r="AK144" s="481"/>
      <c r="AL144" s="481"/>
      <c r="AM144" s="481"/>
      <c r="AN144" s="330">
        <f t="shared" si="21"/>
        <v>8.4293085655314681E-2</v>
      </c>
      <c r="AO144" s="331">
        <f t="shared" si="22"/>
        <v>0.16270916334661334</v>
      </c>
    </row>
    <row r="145" spans="1:41" ht="14.25" x14ac:dyDescent="0.2">
      <c r="A145" s="292" t="s">
        <v>383</v>
      </c>
      <c r="B145" s="261"/>
      <c r="C145" s="282"/>
      <c r="D145" s="293"/>
      <c r="E145" s="293"/>
      <c r="F145" s="293"/>
      <c r="G145" s="294"/>
      <c r="H145" s="280"/>
      <c r="I145" s="280"/>
      <c r="J145" s="280"/>
      <c r="K145" s="280"/>
      <c r="L145" s="281"/>
      <c r="M145" s="281"/>
      <c r="N145" s="281"/>
      <c r="O145" s="281"/>
      <c r="P145" s="313"/>
      <c r="Q145" s="313"/>
      <c r="R145" s="313"/>
      <c r="S145" s="313"/>
      <c r="T145" s="313"/>
      <c r="U145" s="313"/>
      <c r="V145" s="313"/>
      <c r="W145" s="313"/>
      <c r="X145" s="313"/>
      <c r="Y145" s="313"/>
      <c r="AN145" s="316">
        <f t="shared" si="21"/>
        <v>0</v>
      </c>
      <c r="AO145" s="323" t="e">
        <f t="shared" si="22"/>
        <v>#DIV/0!</v>
      </c>
    </row>
    <row r="146" spans="1:41" x14ac:dyDescent="0.2">
      <c r="A146" s="260" t="s">
        <v>988</v>
      </c>
      <c r="B146" s="345"/>
      <c r="C146" s="282"/>
      <c r="D146" s="293"/>
      <c r="E146" s="293"/>
      <c r="F146" s="293"/>
      <c r="G146" s="294"/>
      <c r="H146" s="280"/>
      <c r="I146" s="280"/>
      <c r="J146" s="280"/>
      <c r="K146" s="280"/>
      <c r="L146" s="281"/>
      <c r="M146" s="281"/>
      <c r="N146" s="281"/>
      <c r="O146" s="289"/>
      <c r="P146" s="313"/>
      <c r="Q146" s="313"/>
      <c r="R146" s="313"/>
      <c r="S146" s="313"/>
      <c r="T146" s="313"/>
      <c r="U146" s="313"/>
      <c r="V146" s="313"/>
      <c r="W146" s="313"/>
      <c r="X146" s="313"/>
      <c r="Y146" s="313"/>
      <c r="AN146" s="316">
        <f t="shared" si="21"/>
        <v>0</v>
      </c>
      <c r="AO146" s="323" t="e">
        <f t="shared" si="22"/>
        <v>#DIV/0!</v>
      </c>
    </row>
    <row r="147" spans="1:41" ht="18" x14ac:dyDescent="0.2">
      <c r="A147" s="262" t="s">
        <v>989</v>
      </c>
      <c r="B147" s="261" t="s">
        <v>990</v>
      </c>
      <c r="C147" s="282">
        <v>1</v>
      </c>
      <c r="D147" s="293"/>
      <c r="E147" s="293"/>
      <c r="F147" s="293"/>
      <c r="G147" s="294" t="s">
        <v>705</v>
      </c>
      <c r="H147" s="280"/>
      <c r="I147" s="280"/>
      <c r="J147" s="280"/>
      <c r="K147" s="280"/>
      <c r="L147" s="281">
        <f>150.86/1000</f>
        <v>0.15086000000000002</v>
      </c>
      <c r="M147" s="281">
        <f>130.4/1000</f>
        <v>0.13040000000000002</v>
      </c>
      <c r="N147" s="281">
        <f>150.86/1000</f>
        <v>0.15086000000000002</v>
      </c>
      <c r="O147" s="281">
        <f>177.2744/1000</f>
        <v>0.17727440000000003</v>
      </c>
      <c r="P147" s="429">
        <f>189.81/1000</f>
        <v>0.18981000000000001</v>
      </c>
      <c r="Q147" s="429">
        <f>192.91/1000</f>
        <v>0.19291</v>
      </c>
      <c r="R147" s="429">
        <f>184.58/1000</f>
        <v>0.18458000000000002</v>
      </c>
      <c r="S147" s="429">
        <f>R147*105%/103%</f>
        <v>0.18816407766990295</v>
      </c>
      <c r="T147" s="429">
        <f>S147*105%/103%</f>
        <v>0.19181774908096905</v>
      </c>
      <c r="U147" s="429">
        <f>S147*105%/103%</f>
        <v>0.19181774908096905</v>
      </c>
      <c r="V147" s="429">
        <f>T147*105%/103%</f>
        <v>0.19554236556797816</v>
      </c>
      <c r="W147" s="429">
        <f>U147*105%/103%</f>
        <v>0.19554236556797816</v>
      </c>
      <c r="X147" s="429">
        <f>V147*105%/103%</f>
        <v>0.19933930470522046</v>
      </c>
      <c r="Y147" s="429">
        <f>W147*105%/103%</f>
        <v>0.19933930470522046</v>
      </c>
      <c r="AN147" s="316">
        <f t="shared" si="21"/>
        <v>3.0999999999999917E-3</v>
      </c>
      <c r="AO147" s="323">
        <f t="shared" si="22"/>
        <v>1.6332121595279414E-2</v>
      </c>
    </row>
    <row r="148" spans="1:41" x14ac:dyDescent="0.2">
      <c r="A148" s="260" t="s">
        <v>105</v>
      </c>
      <c r="B148" s="345" t="s">
        <v>478</v>
      </c>
      <c r="C148" s="282"/>
      <c r="D148" s="293"/>
      <c r="E148" s="293"/>
      <c r="F148" s="293"/>
      <c r="G148" s="294"/>
      <c r="H148" s="280"/>
      <c r="I148" s="280"/>
      <c r="J148" s="280"/>
      <c r="K148" s="280"/>
      <c r="L148" s="505">
        <f>L$14*1000/10</f>
        <v>6352.4</v>
      </c>
      <c r="M148" s="505">
        <f>M$14*1000/9</f>
        <v>7055.7777777777774</v>
      </c>
      <c r="N148" s="505">
        <f>N$14*1000/8</f>
        <v>7917.125</v>
      </c>
      <c r="O148" s="505">
        <f>O$14*1000/7</f>
        <v>8977.1428571428569</v>
      </c>
      <c r="P148" s="505">
        <f>P$14*1000/6.5</f>
        <v>9595.3846153846152</v>
      </c>
      <c r="Q148" s="505">
        <f>Q$14*1000/6</f>
        <v>10356.5</v>
      </c>
      <c r="R148" s="505">
        <f>R$14*1000/5.5</f>
        <v>11270.727272727272</v>
      </c>
      <c r="S148" s="505">
        <f>S$14*1000/5</f>
        <v>12379.2</v>
      </c>
      <c r="T148" s="505">
        <f>T$14*1000/5</f>
        <v>12347.6</v>
      </c>
      <c r="U148" s="505">
        <f>T148</f>
        <v>12347.6</v>
      </c>
      <c r="V148" s="505">
        <f>V$14*1000/5</f>
        <v>12320.8</v>
      </c>
      <c r="W148" s="505">
        <f>V148</f>
        <v>12320.8</v>
      </c>
      <c r="X148" s="505">
        <f>X$14*1000/5</f>
        <v>12295.2</v>
      </c>
      <c r="Y148" s="505">
        <f>X148</f>
        <v>12295.2</v>
      </c>
      <c r="AN148" s="316">
        <f t="shared" ref="AN148:AN186" si="40">Q148-P148</f>
        <v>761.11538461538476</v>
      </c>
      <c r="AO148" s="323">
        <f t="shared" ref="AO148:AO186" si="41">Q148/P148-100%</f>
        <v>7.9320987654321051E-2</v>
      </c>
    </row>
    <row r="149" spans="1:41" s="343" customFormat="1" ht="9.75" x14ac:dyDescent="0.2">
      <c r="A149" s="357"/>
      <c r="B149" s="345" t="s">
        <v>310</v>
      </c>
      <c r="C149" s="364"/>
      <c r="D149" s="365"/>
      <c r="E149" s="365"/>
      <c r="F149" s="365"/>
      <c r="G149" s="366"/>
      <c r="H149" s="367"/>
      <c r="I149" s="367"/>
      <c r="J149" s="367"/>
      <c r="K149" s="367"/>
      <c r="L149" s="417"/>
      <c r="M149" s="506">
        <f t="shared" ref="M149:T149" si="42">M148/L148*100</f>
        <v>111.07263046687517</v>
      </c>
      <c r="N149" s="506">
        <f t="shared" si="42"/>
        <v>112.20768637208278</v>
      </c>
      <c r="O149" s="506">
        <f t="shared" si="42"/>
        <v>113.38892409988293</v>
      </c>
      <c r="P149" s="506">
        <f t="shared" si="42"/>
        <v>106.88684326494639</v>
      </c>
      <c r="Q149" s="506">
        <f t="shared" si="42"/>
        <v>107.9320987654321</v>
      </c>
      <c r="R149" s="506">
        <f t="shared" si="42"/>
        <v>108.82756986170301</v>
      </c>
      <c r="S149" s="506">
        <f t="shared" si="42"/>
        <v>109.83497072061172</v>
      </c>
      <c r="T149" s="506">
        <f t="shared" si="42"/>
        <v>99.744733100685011</v>
      </c>
      <c r="U149" s="506">
        <f>T149</f>
        <v>99.744733100685011</v>
      </c>
      <c r="V149" s="506">
        <f>V148/T148*100</f>
        <v>99.782953772393</v>
      </c>
      <c r="W149" s="506">
        <f>V149</f>
        <v>99.782953772393</v>
      </c>
      <c r="X149" s="506">
        <f>X148/V148*100</f>
        <v>99.7922212843322</v>
      </c>
      <c r="Y149" s="506">
        <f>X149</f>
        <v>99.7922212843322</v>
      </c>
      <c r="Z149" s="444"/>
      <c r="AA149" s="444"/>
      <c r="AB149" s="444"/>
      <c r="AC149" s="444"/>
      <c r="AD149" s="444"/>
      <c r="AE149" s="444"/>
      <c r="AF149" s="444"/>
      <c r="AG149" s="444"/>
      <c r="AH149" s="444"/>
      <c r="AI149" s="444"/>
      <c r="AJ149" s="444"/>
      <c r="AK149" s="444"/>
      <c r="AL149" s="444"/>
      <c r="AM149" s="444"/>
      <c r="AN149" s="362">
        <f t="shared" si="40"/>
        <v>1.0452555004857089</v>
      </c>
      <c r="AO149" s="363">
        <f t="shared" si="41"/>
        <v>9.7790847643874912E-3</v>
      </c>
    </row>
    <row r="150" spans="1:41" ht="21" x14ac:dyDescent="0.2">
      <c r="A150" s="260" t="s">
        <v>106</v>
      </c>
      <c r="B150" s="345" t="s">
        <v>478</v>
      </c>
      <c r="C150" s="282"/>
      <c r="D150" s="293"/>
      <c r="E150" s="293"/>
      <c r="F150" s="293"/>
      <c r="G150" s="294"/>
      <c r="H150" s="280"/>
      <c r="I150" s="280"/>
      <c r="J150" s="280"/>
      <c r="K150" s="280"/>
      <c r="L150" s="505">
        <f>L148*0.3</f>
        <v>1905.7199999999998</v>
      </c>
      <c r="M150" s="505">
        <f>M148*0.35</f>
        <v>2469.5222222222219</v>
      </c>
      <c r="N150" s="505">
        <f>N148*0.4</f>
        <v>3166.8500000000004</v>
      </c>
      <c r="O150" s="505">
        <f>O148*0.45</f>
        <v>4039.7142857142858</v>
      </c>
      <c r="P150" s="505">
        <f t="shared" ref="P150:X150" si="43">P148*0.5</f>
        <v>4797.6923076923076</v>
      </c>
      <c r="Q150" s="505">
        <f t="shared" si="43"/>
        <v>5178.25</v>
      </c>
      <c r="R150" s="505">
        <f t="shared" si="43"/>
        <v>5635.363636363636</v>
      </c>
      <c r="S150" s="505">
        <f t="shared" si="43"/>
        <v>6189.6</v>
      </c>
      <c r="T150" s="505">
        <f t="shared" si="43"/>
        <v>6173.8</v>
      </c>
      <c r="U150" s="505">
        <f>T150</f>
        <v>6173.8</v>
      </c>
      <c r="V150" s="505">
        <f t="shared" si="43"/>
        <v>6160.4</v>
      </c>
      <c r="W150" s="505">
        <f>V150</f>
        <v>6160.4</v>
      </c>
      <c r="X150" s="505">
        <f t="shared" si="43"/>
        <v>6147.6</v>
      </c>
      <c r="Y150" s="505">
        <f>X150</f>
        <v>6147.6</v>
      </c>
      <c r="AN150" s="316">
        <f t="shared" si="40"/>
        <v>380.55769230769238</v>
      </c>
      <c r="AO150" s="323">
        <f t="shared" si="41"/>
        <v>7.9320987654321051E-2</v>
      </c>
    </row>
    <row r="151" spans="1:41" s="356" customFormat="1" ht="9" x14ac:dyDescent="0.2">
      <c r="A151" s="347"/>
      <c r="B151" s="346" t="s">
        <v>310</v>
      </c>
      <c r="C151" s="348"/>
      <c r="D151" s="349"/>
      <c r="E151" s="349"/>
      <c r="F151" s="349"/>
      <c r="G151" s="350"/>
      <c r="H151" s="351"/>
      <c r="I151" s="351"/>
      <c r="J151" s="351"/>
      <c r="K151" s="351"/>
      <c r="L151" s="417"/>
      <c r="M151" s="506">
        <f t="shared" ref="M151:T151" si="44">M150/L150*100</f>
        <v>129.58473554468767</v>
      </c>
      <c r="N151" s="506">
        <f t="shared" si="44"/>
        <v>128.23735585380891</v>
      </c>
      <c r="O151" s="506">
        <f t="shared" si="44"/>
        <v>127.5625396123683</v>
      </c>
      <c r="P151" s="506">
        <f t="shared" si="44"/>
        <v>118.76315918327376</v>
      </c>
      <c r="Q151" s="506">
        <f t="shared" si="44"/>
        <v>107.9320987654321</v>
      </c>
      <c r="R151" s="506">
        <f t="shared" si="44"/>
        <v>108.82756986170301</v>
      </c>
      <c r="S151" s="506">
        <f t="shared" si="44"/>
        <v>109.83497072061172</v>
      </c>
      <c r="T151" s="506">
        <f t="shared" si="44"/>
        <v>99.744733100685011</v>
      </c>
      <c r="U151" s="506">
        <f>T151</f>
        <v>99.744733100685011</v>
      </c>
      <c r="V151" s="506">
        <f>V150/T150*100</f>
        <v>99.782953772393</v>
      </c>
      <c r="W151" s="506">
        <f>V151</f>
        <v>99.782953772393</v>
      </c>
      <c r="X151" s="506">
        <f>X150/V150*100</f>
        <v>99.7922212843322</v>
      </c>
      <c r="Y151" s="506">
        <f>X151</f>
        <v>99.7922212843322</v>
      </c>
      <c r="AN151" s="362">
        <f t="shared" si="40"/>
        <v>-10.831060417841655</v>
      </c>
      <c r="AO151" s="363">
        <f t="shared" si="41"/>
        <v>-9.1198823712051125E-2</v>
      </c>
    </row>
    <row r="152" spans="1:41" ht="57" x14ac:dyDescent="0.2">
      <c r="A152" s="292" t="s">
        <v>384</v>
      </c>
      <c r="B152" s="261"/>
      <c r="C152" s="282"/>
      <c r="D152" s="293"/>
      <c r="E152" s="293"/>
      <c r="F152" s="293"/>
      <c r="G152" s="294"/>
      <c r="H152" s="280"/>
      <c r="I152" s="280"/>
      <c r="J152" s="280"/>
      <c r="K152" s="280"/>
      <c r="L152" s="281"/>
      <c r="M152" s="281"/>
      <c r="N152" s="281"/>
      <c r="O152" s="281"/>
      <c r="P152" s="313"/>
      <c r="Q152" s="313"/>
      <c r="R152" s="313"/>
      <c r="S152" s="313"/>
      <c r="T152" s="313"/>
      <c r="U152" s="313"/>
      <c r="V152" s="313"/>
      <c r="W152" s="313"/>
      <c r="X152" s="313"/>
      <c r="Y152" s="313"/>
      <c r="AN152" s="316">
        <f t="shared" si="40"/>
        <v>0</v>
      </c>
      <c r="AO152" s="323" t="e">
        <f t="shared" si="41"/>
        <v>#DIV/0!</v>
      </c>
    </row>
    <row r="153" spans="1:41" ht="21" hidden="1" x14ac:dyDescent="0.2">
      <c r="A153" s="260" t="s">
        <v>347</v>
      </c>
      <c r="B153" s="261" t="s">
        <v>45</v>
      </c>
      <c r="C153" s="282">
        <v>1</v>
      </c>
      <c r="D153" s="293"/>
      <c r="E153" s="293"/>
      <c r="F153" s="293"/>
      <c r="G153" s="294" t="s">
        <v>705</v>
      </c>
      <c r="H153" s="280"/>
      <c r="I153" s="280"/>
      <c r="J153" s="280"/>
      <c r="K153" s="280"/>
      <c r="L153" s="289"/>
      <c r="M153" s="289"/>
      <c r="N153" s="289"/>
      <c r="O153" s="281"/>
      <c r="P153" s="313"/>
      <c r="Q153" s="313"/>
      <c r="R153" s="313"/>
      <c r="S153" s="313"/>
      <c r="T153" s="313"/>
      <c r="U153" s="313"/>
      <c r="V153" s="313"/>
      <c r="W153" s="313"/>
      <c r="X153" s="313"/>
      <c r="Y153" s="313"/>
      <c r="AN153" s="316">
        <f t="shared" si="40"/>
        <v>0</v>
      </c>
      <c r="AO153" s="323" t="e">
        <f t="shared" si="41"/>
        <v>#DIV/0!</v>
      </c>
    </row>
    <row r="154" spans="1:41" hidden="1" x14ac:dyDescent="0.2">
      <c r="A154" s="260" t="s">
        <v>548</v>
      </c>
      <c r="B154" s="261" t="s">
        <v>45</v>
      </c>
      <c r="C154" s="282">
        <v>1</v>
      </c>
      <c r="D154" s="293"/>
      <c r="E154" s="293"/>
      <c r="F154" s="293"/>
      <c r="G154" s="294" t="s">
        <v>705</v>
      </c>
      <c r="H154" s="280"/>
      <c r="I154" s="280"/>
      <c r="J154" s="280"/>
      <c r="K154" s="280"/>
      <c r="L154" s="289"/>
      <c r="M154" s="289"/>
      <c r="N154" s="289"/>
      <c r="O154" s="281"/>
      <c r="P154" s="313"/>
      <c r="Q154" s="313"/>
      <c r="R154" s="313"/>
      <c r="S154" s="313"/>
      <c r="T154" s="313"/>
      <c r="U154" s="313"/>
      <c r="V154" s="313"/>
      <c r="W154" s="313"/>
      <c r="X154" s="313"/>
      <c r="Y154" s="313"/>
      <c r="AN154" s="316">
        <f t="shared" si="40"/>
        <v>0</v>
      </c>
      <c r="AO154" s="323" t="e">
        <f t="shared" si="41"/>
        <v>#DIV/0!</v>
      </c>
    </row>
    <row r="155" spans="1:41" ht="21" hidden="1" x14ac:dyDescent="0.2">
      <c r="A155" s="260" t="s">
        <v>991</v>
      </c>
      <c r="B155" s="261" t="s">
        <v>45</v>
      </c>
      <c r="C155" s="282">
        <v>1</v>
      </c>
      <c r="D155" s="293"/>
      <c r="E155" s="293"/>
      <c r="F155" s="293"/>
      <c r="G155" s="294" t="s">
        <v>705</v>
      </c>
      <c r="H155" s="280"/>
      <c r="I155" s="280"/>
      <c r="J155" s="280"/>
      <c r="K155" s="280"/>
      <c r="L155" s="289"/>
      <c r="M155" s="289"/>
      <c r="N155" s="289"/>
      <c r="O155" s="281"/>
      <c r="P155" s="313"/>
      <c r="Q155" s="313"/>
      <c r="R155" s="313"/>
      <c r="S155" s="313"/>
      <c r="T155" s="313"/>
      <c r="U155" s="313"/>
      <c r="V155" s="313"/>
      <c r="W155" s="313"/>
      <c r="X155" s="313"/>
      <c r="Y155" s="313"/>
      <c r="AN155" s="316">
        <f t="shared" si="40"/>
        <v>0</v>
      </c>
      <c r="AO155" s="323" t="e">
        <f t="shared" si="41"/>
        <v>#DIV/0!</v>
      </c>
    </row>
    <row r="156" spans="1:41" hidden="1" x14ac:dyDescent="0.2">
      <c r="A156" s="260" t="s">
        <v>302</v>
      </c>
      <c r="B156" s="261" t="s">
        <v>45</v>
      </c>
      <c r="C156" s="282">
        <v>1</v>
      </c>
      <c r="D156" s="293"/>
      <c r="E156" s="293"/>
      <c r="F156" s="293"/>
      <c r="G156" s="294" t="s">
        <v>705</v>
      </c>
      <c r="H156" s="280"/>
      <c r="I156" s="280"/>
      <c r="J156" s="280"/>
      <c r="K156" s="280"/>
      <c r="L156" s="289"/>
      <c r="M156" s="289"/>
      <c r="N156" s="289"/>
      <c r="O156" s="281"/>
      <c r="P156" s="313"/>
      <c r="Q156" s="313"/>
      <c r="R156" s="313"/>
      <c r="S156" s="313"/>
      <c r="T156" s="313"/>
      <c r="U156" s="313"/>
      <c r="V156" s="313"/>
      <c r="W156" s="313"/>
      <c r="X156" s="313"/>
      <c r="Y156" s="313"/>
      <c r="AN156" s="316">
        <f t="shared" si="40"/>
        <v>0</v>
      </c>
      <c r="AO156" s="323" t="e">
        <f t="shared" si="41"/>
        <v>#DIV/0!</v>
      </c>
    </row>
    <row r="157" spans="1:41" hidden="1" x14ac:dyDescent="0.2">
      <c r="A157" s="260" t="s">
        <v>348</v>
      </c>
      <c r="B157" s="261" t="s">
        <v>45</v>
      </c>
      <c r="C157" s="282">
        <v>1</v>
      </c>
      <c r="D157" s="293"/>
      <c r="E157" s="293"/>
      <c r="F157" s="293"/>
      <c r="G157" s="294" t="s">
        <v>705</v>
      </c>
      <c r="H157" s="280"/>
      <c r="I157" s="280"/>
      <c r="J157" s="280"/>
      <c r="K157" s="280"/>
      <c r="L157" s="289"/>
      <c r="M157" s="289"/>
      <c r="N157" s="289"/>
      <c r="O157" s="281"/>
      <c r="P157" s="313"/>
      <c r="Q157" s="313"/>
      <c r="R157" s="313"/>
      <c r="S157" s="313"/>
      <c r="T157" s="313"/>
      <c r="U157" s="313"/>
      <c r="V157" s="313"/>
      <c r="W157" s="313"/>
      <c r="X157" s="313"/>
      <c r="Y157" s="313"/>
      <c r="AN157" s="316">
        <f t="shared" si="40"/>
        <v>0</v>
      </c>
      <c r="AO157" s="323" t="e">
        <f t="shared" si="41"/>
        <v>#DIV/0!</v>
      </c>
    </row>
    <row r="158" spans="1:41" hidden="1" x14ac:dyDescent="0.2">
      <c r="A158" s="260" t="s">
        <v>349</v>
      </c>
      <c r="B158" s="261" t="s">
        <v>45</v>
      </c>
      <c r="C158" s="282">
        <v>1</v>
      </c>
      <c r="D158" s="293"/>
      <c r="E158" s="293"/>
      <c r="F158" s="293"/>
      <c r="G158" s="294" t="s">
        <v>705</v>
      </c>
      <c r="H158" s="280"/>
      <c r="I158" s="280"/>
      <c r="J158" s="280"/>
      <c r="K158" s="280"/>
      <c r="L158" s="289"/>
      <c r="M158" s="289"/>
      <c r="N158" s="289"/>
      <c r="O158" s="281"/>
      <c r="P158" s="313"/>
      <c r="Q158" s="313"/>
      <c r="R158" s="313"/>
      <c r="S158" s="313"/>
      <c r="T158" s="313"/>
      <c r="U158" s="313"/>
      <c r="V158" s="313"/>
      <c r="W158" s="313"/>
      <c r="X158" s="313"/>
      <c r="Y158" s="313"/>
      <c r="AN158" s="316">
        <f t="shared" si="40"/>
        <v>0</v>
      </c>
      <c r="AO158" s="323" t="e">
        <f t="shared" si="41"/>
        <v>#DIV/0!</v>
      </c>
    </row>
    <row r="159" spans="1:41" hidden="1" x14ac:dyDescent="0.2">
      <c r="A159" s="260" t="s">
        <v>992</v>
      </c>
      <c r="B159" s="261" t="s">
        <v>45</v>
      </c>
      <c r="C159" s="282">
        <v>1</v>
      </c>
      <c r="D159" s="293"/>
      <c r="E159" s="293"/>
      <c r="F159" s="293"/>
      <c r="G159" s="294" t="s">
        <v>705</v>
      </c>
      <c r="H159" s="280"/>
      <c r="I159" s="280"/>
      <c r="J159" s="280"/>
      <c r="K159" s="280"/>
      <c r="L159" s="289"/>
      <c r="M159" s="289"/>
      <c r="N159" s="289"/>
      <c r="O159" s="281"/>
      <c r="P159" s="313"/>
      <c r="Q159" s="313"/>
      <c r="R159" s="313"/>
      <c r="S159" s="313"/>
      <c r="T159" s="313"/>
      <c r="U159" s="313"/>
      <c r="V159" s="313"/>
      <c r="W159" s="313"/>
      <c r="X159" s="313"/>
      <c r="Y159" s="313"/>
      <c r="AN159" s="316">
        <f t="shared" si="40"/>
        <v>0</v>
      </c>
      <c r="AO159" s="323" t="e">
        <f t="shared" si="41"/>
        <v>#DIV/0!</v>
      </c>
    </row>
    <row r="160" spans="1:41" x14ac:dyDescent="0.2">
      <c r="A160" s="260" t="s">
        <v>650</v>
      </c>
      <c r="B160" s="261" t="s">
        <v>45</v>
      </c>
      <c r="C160" s="282">
        <v>1</v>
      </c>
      <c r="D160" s="293"/>
      <c r="E160" s="293"/>
      <c r="F160" s="293"/>
      <c r="G160" s="294" t="s">
        <v>705</v>
      </c>
      <c r="H160" s="280"/>
      <c r="I160" s="280"/>
      <c r="J160" s="280"/>
      <c r="K160" s="280"/>
      <c r="L160" s="507">
        <v>18.7</v>
      </c>
      <c r="M160" s="507">
        <v>21.7</v>
      </c>
      <c r="N160" s="507">
        <v>28.8</v>
      </c>
      <c r="O160" s="508">
        <v>32</v>
      </c>
      <c r="P160" s="509">
        <v>38.265000000000001</v>
      </c>
      <c r="Q160" s="509">
        <v>40.432000000000002</v>
      </c>
      <c r="R160" s="325">
        <f>Q160*AVERAGE(Q160/P160,P160/O160,O160/N160)</f>
        <v>45.331330719579839</v>
      </c>
      <c r="S160" s="325">
        <f>R160*AVERAGE(R160/Q160,Q160/P160,P160/O160)</f>
        <v>50.97639931017666</v>
      </c>
      <c r="T160" s="325">
        <f>S160*AVERAGE(S160/R160,R160/Q160,Q160/P160)</f>
        <v>56.113716583008127</v>
      </c>
      <c r="U160" s="325">
        <f>T160*1.01</f>
        <v>56.67485374883821</v>
      </c>
      <c r="V160" s="325">
        <f>T160*AVERAGE(T160/S160,S160/R160,R160/Q160)</f>
        <v>62.594514217311492</v>
      </c>
      <c r="W160" s="325">
        <f>V160*1.01</f>
        <v>63.220459359484607</v>
      </c>
      <c r="X160" s="325">
        <f>V160*AVERAGE(V160/T160,T160/S160,S160/R160)</f>
        <v>69.705280684585446</v>
      </c>
      <c r="Y160" s="325">
        <f>X160*1.01</f>
        <v>70.402333491431307</v>
      </c>
      <c r="AN160" s="316">
        <f t="shared" si="40"/>
        <v>2.1670000000000016</v>
      </c>
      <c r="AO160" s="323">
        <f t="shared" si="41"/>
        <v>5.6631386384424554E-2</v>
      </c>
    </row>
    <row r="161" spans="1:41" hidden="1" x14ac:dyDescent="0.2">
      <c r="A161" s="260" t="s">
        <v>629</v>
      </c>
      <c r="B161" s="261" t="s">
        <v>46</v>
      </c>
      <c r="C161" s="282">
        <v>1</v>
      </c>
      <c r="D161" s="293"/>
      <c r="E161" s="293"/>
      <c r="F161" s="293"/>
      <c r="G161" s="294" t="s">
        <v>705</v>
      </c>
      <c r="H161" s="280"/>
      <c r="I161" s="280"/>
      <c r="J161" s="280"/>
      <c r="K161" s="280"/>
      <c r="L161" s="289"/>
      <c r="M161" s="289"/>
      <c r="N161" s="289"/>
      <c r="O161" s="281"/>
      <c r="P161" s="313"/>
      <c r="Q161" s="313"/>
      <c r="R161" s="313"/>
      <c r="S161" s="313"/>
      <c r="T161" s="313"/>
      <c r="U161" s="313"/>
      <c r="V161" s="313"/>
      <c r="W161" s="313"/>
      <c r="X161" s="313"/>
      <c r="Y161" s="313"/>
      <c r="AN161" s="316">
        <f t="shared" si="40"/>
        <v>0</v>
      </c>
      <c r="AO161" s="323" t="e">
        <f t="shared" si="41"/>
        <v>#DIV/0!</v>
      </c>
    </row>
    <row r="162" spans="1:41" x14ac:dyDescent="0.2">
      <c r="A162" s="260" t="s">
        <v>648</v>
      </c>
      <c r="B162" s="261" t="s">
        <v>649</v>
      </c>
      <c r="C162" s="282">
        <v>1</v>
      </c>
      <c r="D162" s="293"/>
      <c r="E162" s="293"/>
      <c r="F162" s="293"/>
      <c r="G162" s="294" t="s">
        <v>705</v>
      </c>
      <c r="H162" s="280"/>
      <c r="I162" s="280"/>
      <c r="J162" s="280"/>
      <c r="K162" s="280"/>
      <c r="L162" s="510">
        <v>2.2000000000000001E-3</v>
      </c>
      <c r="M162" s="510">
        <v>9.4999999999999998E-3</v>
      </c>
      <c r="N162" s="510">
        <v>1.2999999999999999E-2</v>
      </c>
      <c r="O162" s="511">
        <v>1.1599999999999999E-2</v>
      </c>
      <c r="P162" s="511">
        <v>1.72E-2</v>
      </c>
      <c r="Q162" s="511">
        <v>8.2000000000000007E-3</v>
      </c>
      <c r="R162" s="325">
        <f>Q162*AVERAGE(Q162/P162,P162/O162,O162/N162)</f>
        <v>7.7949486973865481E-3</v>
      </c>
      <c r="S162" s="325">
        <f>R162*AVERAGE(R162/Q162,Q162/P162,P162/O162)</f>
        <v>7.5613764541550355E-3</v>
      </c>
      <c r="T162" s="325">
        <f>S162*AVERAGE(S162/R162,R162/Q162,Q162/P162)</f>
        <v>6.0425054280775067E-3</v>
      </c>
      <c r="U162" s="325">
        <f>T162*1.01</f>
        <v>6.1029304823582821E-3</v>
      </c>
      <c r="V162" s="325">
        <f>T162*AVERAGE(T162/S162,S162/R162,R162/Q162)</f>
        <v>5.4780682329072317E-3</v>
      </c>
      <c r="W162" s="325">
        <f>V162*1.01</f>
        <v>5.5328489152363042E-3</v>
      </c>
      <c r="X162" s="325">
        <f>V162*AVERAGE(V162/T162,T162/S162,S162/R162)</f>
        <v>4.885984052621418E-3</v>
      </c>
      <c r="Y162" s="325">
        <f>X162*1.01</f>
        <v>4.9348438931476318E-3</v>
      </c>
      <c r="AN162" s="316" t="e">
        <f>#REF!-#REF!</f>
        <v>#REF!</v>
      </c>
      <c r="AO162" s="323" t="e">
        <f>#REF!/#REF!-100%</f>
        <v>#REF!</v>
      </c>
    </row>
    <row r="163" spans="1:41" hidden="1" x14ac:dyDescent="0.2">
      <c r="A163" s="260" t="s">
        <v>630</v>
      </c>
      <c r="B163" s="261" t="s">
        <v>628</v>
      </c>
      <c r="C163" s="282">
        <v>1</v>
      </c>
      <c r="D163" s="293"/>
      <c r="E163" s="293"/>
      <c r="F163" s="293"/>
      <c r="G163" s="294" t="s">
        <v>705</v>
      </c>
      <c r="H163" s="280"/>
      <c r="I163" s="280"/>
      <c r="J163" s="280"/>
      <c r="K163" s="280"/>
      <c r="L163" s="289"/>
      <c r="M163" s="289"/>
      <c r="N163" s="289"/>
      <c r="O163" s="281"/>
      <c r="P163" s="313"/>
      <c r="Q163" s="313"/>
      <c r="R163" s="313"/>
      <c r="S163" s="313"/>
      <c r="T163" s="313"/>
      <c r="U163" s="313"/>
      <c r="V163" s="313"/>
      <c r="W163" s="313"/>
      <c r="X163" s="313"/>
      <c r="Y163" s="313"/>
      <c r="AN163" s="316">
        <f t="shared" si="40"/>
        <v>0</v>
      </c>
      <c r="AO163" s="323" t="e">
        <f t="shared" si="41"/>
        <v>#DIV/0!</v>
      </c>
    </row>
    <row r="164" spans="1:41" ht="21" hidden="1" x14ac:dyDescent="0.2">
      <c r="A164" s="260" t="s">
        <v>819</v>
      </c>
      <c r="B164" s="261" t="s">
        <v>45</v>
      </c>
      <c r="C164" s="282">
        <v>1</v>
      </c>
      <c r="D164" s="293"/>
      <c r="E164" s="293"/>
      <c r="F164" s="293"/>
      <c r="G164" s="294" t="s">
        <v>705</v>
      </c>
      <c r="H164" s="280"/>
      <c r="I164" s="280"/>
      <c r="J164" s="280"/>
      <c r="K164" s="280"/>
      <c r="L164" s="289"/>
      <c r="M164" s="289"/>
      <c r="N164" s="289"/>
      <c r="O164" s="281"/>
      <c r="P164" s="313"/>
      <c r="Q164" s="313"/>
      <c r="R164" s="313"/>
      <c r="S164" s="313"/>
      <c r="T164" s="313"/>
      <c r="U164" s="313"/>
      <c r="V164" s="313"/>
      <c r="W164" s="313"/>
      <c r="X164" s="313"/>
      <c r="Y164" s="313"/>
      <c r="AN164" s="316">
        <f t="shared" si="40"/>
        <v>0</v>
      </c>
      <c r="AO164" s="323" t="e">
        <f t="shared" si="41"/>
        <v>#DIV/0!</v>
      </c>
    </row>
    <row r="165" spans="1:41" hidden="1" x14ac:dyDescent="0.2">
      <c r="A165" s="260" t="s">
        <v>646</v>
      </c>
      <c r="B165" s="261" t="s">
        <v>647</v>
      </c>
      <c r="C165" s="282">
        <v>1</v>
      </c>
      <c r="D165" s="293"/>
      <c r="E165" s="293"/>
      <c r="F165" s="293"/>
      <c r="G165" s="294" t="s">
        <v>705</v>
      </c>
      <c r="H165" s="280"/>
      <c r="I165" s="280"/>
      <c r="J165" s="280"/>
      <c r="K165" s="280"/>
      <c r="L165" s="289"/>
      <c r="M165" s="289"/>
      <c r="N165" s="289"/>
      <c r="O165" s="281"/>
      <c r="P165" s="313"/>
      <c r="Q165" s="313"/>
      <c r="R165" s="313"/>
      <c r="S165" s="313"/>
      <c r="T165" s="313"/>
      <c r="U165" s="313"/>
      <c r="V165" s="313"/>
      <c r="W165" s="313"/>
      <c r="X165" s="313"/>
      <c r="Y165" s="313"/>
      <c r="AN165" s="316">
        <f t="shared" si="40"/>
        <v>0</v>
      </c>
      <c r="AO165" s="323" t="e">
        <f t="shared" si="41"/>
        <v>#DIV/0!</v>
      </c>
    </row>
    <row r="166" spans="1:41" ht="21" hidden="1" x14ac:dyDescent="0.2">
      <c r="A166" s="260" t="s">
        <v>424</v>
      </c>
      <c r="B166" s="261" t="s">
        <v>45</v>
      </c>
      <c r="C166" s="282">
        <v>1</v>
      </c>
      <c r="D166" s="293"/>
      <c r="E166" s="293"/>
      <c r="F166" s="293"/>
      <c r="G166" s="294" t="s">
        <v>705</v>
      </c>
      <c r="H166" s="280"/>
      <c r="I166" s="280"/>
      <c r="J166" s="280"/>
      <c r="K166" s="280"/>
      <c r="L166" s="289"/>
      <c r="M166" s="289"/>
      <c r="N166" s="289"/>
      <c r="O166" s="281"/>
      <c r="P166" s="313"/>
      <c r="Q166" s="313"/>
      <c r="R166" s="313"/>
      <c r="S166" s="313"/>
      <c r="T166" s="313"/>
      <c r="U166" s="313"/>
      <c r="V166" s="313"/>
      <c r="W166" s="313"/>
      <c r="X166" s="313"/>
      <c r="Y166" s="313"/>
      <c r="AN166" s="316">
        <f t="shared" si="40"/>
        <v>0</v>
      </c>
      <c r="AO166" s="323" t="e">
        <f t="shared" si="41"/>
        <v>#DIV/0!</v>
      </c>
    </row>
    <row r="167" spans="1:41" ht="21" hidden="1" x14ac:dyDescent="0.2">
      <c r="A167" s="260" t="s">
        <v>425</v>
      </c>
      <c r="B167" s="261" t="s">
        <v>45</v>
      </c>
      <c r="C167" s="282"/>
      <c r="D167" s="293"/>
      <c r="E167" s="293"/>
      <c r="F167" s="293"/>
      <c r="G167" s="294"/>
      <c r="H167" s="280"/>
      <c r="I167" s="280"/>
      <c r="J167" s="280"/>
      <c r="K167" s="280"/>
      <c r="L167" s="289"/>
      <c r="M167" s="289"/>
      <c r="N167" s="289"/>
      <c r="O167" s="281"/>
      <c r="P167" s="313"/>
      <c r="Q167" s="313"/>
      <c r="R167" s="313"/>
      <c r="S167" s="313"/>
      <c r="T167" s="313"/>
      <c r="U167" s="313"/>
      <c r="V167" s="313"/>
      <c r="W167" s="313"/>
      <c r="X167" s="313"/>
      <c r="Y167" s="313"/>
      <c r="AN167" s="316">
        <f t="shared" si="40"/>
        <v>0</v>
      </c>
      <c r="AO167" s="323" t="e">
        <f t="shared" si="41"/>
        <v>#DIV/0!</v>
      </c>
    </row>
    <row r="168" spans="1:41" x14ac:dyDescent="0.2">
      <c r="A168" s="260" t="s">
        <v>430</v>
      </c>
      <c r="B168" s="261" t="s">
        <v>45</v>
      </c>
      <c r="C168" s="282"/>
      <c r="D168" s="293"/>
      <c r="E168" s="293"/>
      <c r="F168" s="293"/>
      <c r="G168" s="294"/>
      <c r="H168" s="280"/>
      <c r="I168" s="280"/>
      <c r="J168" s="280"/>
      <c r="K168" s="280"/>
      <c r="L168" s="510">
        <v>0.40200000000000002</v>
      </c>
      <c r="M168" s="510">
        <v>0.34200000000000003</v>
      </c>
      <c r="N168" s="510">
        <v>0.48599999999999999</v>
      </c>
      <c r="O168" s="511">
        <v>0.496</v>
      </c>
      <c r="P168" s="511">
        <v>0.63900000000000001</v>
      </c>
      <c r="Q168" s="511">
        <v>0.59</v>
      </c>
      <c r="R168" s="325">
        <f>Q168*AVERAGE(Q168/P168,P168/O168,O168/N168)</f>
        <v>0.63566605254563802</v>
      </c>
      <c r="S168" s="325">
        <f>R168*AVERAGE(R168/Q168,Q168/P168,P168/O168)</f>
        <v>0.69690701518315179</v>
      </c>
      <c r="T168" s="325">
        <f>S168*AVERAGE(S168/R168,R168/Q168,Q168/P168)</f>
        <v>0.71945408992142568</v>
      </c>
      <c r="U168" s="325">
        <f>T168*1.01</f>
        <v>0.72664863082063991</v>
      </c>
      <c r="V168" s="325">
        <f>T168*AVERAGE(T168/S168,S168/R168,R168/Q168)</f>
        <v>0.76887928071832456</v>
      </c>
      <c r="W168" s="325">
        <f>V168*1.01</f>
        <v>0.77656807352550783</v>
      </c>
      <c r="X168" s="325">
        <f>V168*AVERAGE(V168/T168,T168/S168,S168/R168)</f>
        <v>0.81946965477169142</v>
      </c>
      <c r="Y168" s="325">
        <f>X168*1.01</f>
        <v>0.8276643513194083</v>
      </c>
      <c r="AN168" s="316">
        <f t="shared" si="40"/>
        <v>-4.9000000000000044E-2</v>
      </c>
      <c r="AO168" s="323">
        <f t="shared" si="41"/>
        <v>-7.6682316118935945E-2</v>
      </c>
    </row>
    <row r="169" spans="1:41" ht="21" hidden="1" x14ac:dyDescent="0.2">
      <c r="A169" s="260" t="s">
        <v>820</v>
      </c>
      <c r="B169" s="261" t="s">
        <v>45</v>
      </c>
      <c r="C169" s="282">
        <v>1</v>
      </c>
      <c r="D169" s="293"/>
      <c r="E169" s="293"/>
      <c r="F169" s="293"/>
      <c r="G169" s="294" t="s">
        <v>705</v>
      </c>
      <c r="H169" s="280"/>
      <c r="I169" s="280"/>
      <c r="J169" s="280"/>
      <c r="K169" s="280"/>
      <c r="L169" s="289"/>
      <c r="M169" s="289"/>
      <c r="N169" s="289"/>
      <c r="O169" s="281"/>
      <c r="P169" s="313"/>
      <c r="Q169" s="313"/>
      <c r="R169" s="313"/>
      <c r="S169" s="313"/>
      <c r="T169" s="313"/>
      <c r="U169" s="313"/>
      <c r="V169" s="313"/>
      <c r="W169" s="313"/>
      <c r="X169" s="313"/>
      <c r="Y169" s="313"/>
      <c r="AN169" s="316">
        <f t="shared" si="40"/>
        <v>0</v>
      </c>
      <c r="AO169" s="323" t="e">
        <f t="shared" si="41"/>
        <v>#DIV/0!</v>
      </c>
    </row>
    <row r="170" spans="1:41" ht="21" hidden="1" x14ac:dyDescent="0.2">
      <c r="A170" s="260" t="s">
        <v>821</v>
      </c>
      <c r="B170" s="261" t="s">
        <v>45</v>
      </c>
      <c r="C170" s="282">
        <v>1</v>
      </c>
      <c r="D170" s="293"/>
      <c r="E170" s="293"/>
      <c r="F170" s="293"/>
      <c r="G170" s="294" t="s">
        <v>705</v>
      </c>
      <c r="H170" s="280"/>
      <c r="I170" s="280"/>
      <c r="J170" s="280"/>
      <c r="K170" s="280"/>
      <c r="L170" s="289"/>
      <c r="M170" s="289"/>
      <c r="N170" s="289"/>
      <c r="O170" s="281"/>
      <c r="P170" s="313"/>
      <c r="Q170" s="313"/>
      <c r="R170" s="313"/>
      <c r="S170" s="313"/>
      <c r="T170" s="313"/>
      <c r="U170" s="313"/>
      <c r="V170" s="313"/>
      <c r="W170" s="313"/>
      <c r="X170" s="313"/>
      <c r="Y170" s="313"/>
      <c r="AN170" s="316">
        <f t="shared" si="40"/>
        <v>0</v>
      </c>
      <c r="AO170" s="323" t="e">
        <f t="shared" si="41"/>
        <v>#DIV/0!</v>
      </c>
    </row>
    <row r="171" spans="1:41" ht="21" hidden="1" x14ac:dyDescent="0.2">
      <c r="A171" s="260" t="s">
        <v>643</v>
      </c>
      <c r="B171" s="261" t="s">
        <v>45</v>
      </c>
      <c r="C171" s="282">
        <v>1</v>
      </c>
      <c r="D171" s="293"/>
      <c r="E171" s="293"/>
      <c r="F171" s="293"/>
      <c r="G171" s="294" t="s">
        <v>705</v>
      </c>
      <c r="H171" s="280"/>
      <c r="I171" s="280"/>
      <c r="J171" s="280"/>
      <c r="K171" s="280"/>
      <c r="L171" s="507">
        <v>8.9499999999999996E-2</v>
      </c>
      <c r="M171" s="507">
        <v>0.247</v>
      </c>
      <c r="N171" s="289"/>
      <c r="O171" s="281"/>
      <c r="P171" s="313"/>
      <c r="Q171" s="313"/>
      <c r="R171" s="313"/>
      <c r="S171" s="313"/>
      <c r="T171" s="313"/>
      <c r="U171" s="313"/>
      <c r="V171" s="313"/>
      <c r="W171" s="313"/>
      <c r="X171" s="313"/>
      <c r="Y171" s="313"/>
      <c r="AN171" s="316">
        <f t="shared" si="40"/>
        <v>0</v>
      </c>
      <c r="AO171" s="323" t="e">
        <f t="shared" si="41"/>
        <v>#DIV/0!</v>
      </c>
    </row>
    <row r="172" spans="1:41" ht="21" hidden="1" x14ac:dyDescent="0.2">
      <c r="A172" s="260" t="s">
        <v>993</v>
      </c>
      <c r="B172" s="261" t="s">
        <v>49</v>
      </c>
      <c r="C172" s="282">
        <v>1</v>
      </c>
      <c r="D172" s="293"/>
      <c r="E172" s="293"/>
      <c r="F172" s="293"/>
      <c r="G172" s="294" t="s">
        <v>705</v>
      </c>
      <c r="H172" s="280"/>
      <c r="I172" s="280"/>
      <c r="J172" s="280"/>
      <c r="K172" s="280"/>
      <c r="L172" s="289"/>
      <c r="M172" s="289"/>
      <c r="N172" s="289"/>
      <c r="O172" s="281"/>
      <c r="P172" s="313"/>
      <c r="Q172" s="313"/>
      <c r="R172" s="313"/>
      <c r="S172" s="313"/>
      <c r="T172" s="313"/>
      <c r="U172" s="313"/>
      <c r="V172" s="313"/>
      <c r="W172" s="313"/>
      <c r="X172" s="313"/>
      <c r="Y172" s="313"/>
      <c r="AN172" s="316">
        <f t="shared" si="40"/>
        <v>0</v>
      </c>
      <c r="AO172" s="323" t="e">
        <f t="shared" si="41"/>
        <v>#DIV/0!</v>
      </c>
    </row>
    <row r="173" spans="1:41" hidden="1" x14ac:dyDescent="0.2">
      <c r="A173" s="260" t="s">
        <v>637</v>
      </c>
      <c r="B173" s="261" t="s">
        <v>49</v>
      </c>
      <c r="C173" s="282">
        <v>1</v>
      </c>
      <c r="D173" s="293"/>
      <c r="E173" s="293"/>
      <c r="F173" s="293"/>
      <c r="G173" s="294" t="s">
        <v>705</v>
      </c>
      <c r="H173" s="280"/>
      <c r="I173" s="280"/>
      <c r="J173" s="280"/>
      <c r="K173" s="280"/>
      <c r="L173" s="289"/>
      <c r="M173" s="289"/>
      <c r="N173" s="289"/>
      <c r="O173" s="281"/>
      <c r="P173" s="313"/>
      <c r="Q173" s="313"/>
      <c r="R173" s="313"/>
      <c r="S173" s="313"/>
      <c r="T173" s="313"/>
      <c r="U173" s="313"/>
      <c r="V173" s="313"/>
      <c r="W173" s="313"/>
      <c r="X173" s="313"/>
      <c r="Y173" s="313"/>
      <c r="AN173" s="316">
        <f t="shared" si="40"/>
        <v>0</v>
      </c>
      <c r="AO173" s="323" t="e">
        <f t="shared" si="41"/>
        <v>#DIV/0!</v>
      </c>
    </row>
    <row r="174" spans="1:41" hidden="1" x14ac:dyDescent="0.2">
      <c r="A174" s="260" t="s">
        <v>994</v>
      </c>
      <c r="B174" s="261" t="s">
        <v>49</v>
      </c>
      <c r="C174" s="282">
        <v>1</v>
      </c>
      <c r="D174" s="293"/>
      <c r="E174" s="293"/>
      <c r="F174" s="293"/>
      <c r="G174" s="294" t="s">
        <v>705</v>
      </c>
      <c r="H174" s="280"/>
      <c r="I174" s="280"/>
      <c r="J174" s="280"/>
      <c r="K174" s="280"/>
      <c r="L174" s="289"/>
      <c r="M174" s="289"/>
      <c r="N174" s="289"/>
      <c r="O174" s="281"/>
      <c r="P174" s="313"/>
      <c r="Q174" s="313"/>
      <c r="R174" s="313"/>
      <c r="S174" s="313"/>
      <c r="T174" s="313"/>
      <c r="U174" s="313"/>
      <c r="V174" s="313"/>
      <c r="W174" s="313"/>
      <c r="X174" s="313"/>
      <c r="Y174" s="313"/>
      <c r="AN174" s="316">
        <f t="shared" si="40"/>
        <v>0</v>
      </c>
      <c r="AO174" s="323" t="e">
        <f t="shared" si="41"/>
        <v>#DIV/0!</v>
      </c>
    </row>
    <row r="175" spans="1:41" hidden="1" x14ac:dyDescent="0.2">
      <c r="A175" s="260" t="s">
        <v>428</v>
      </c>
      <c r="B175" s="261" t="s">
        <v>49</v>
      </c>
      <c r="C175" s="282">
        <v>1</v>
      </c>
      <c r="D175" s="293"/>
      <c r="E175" s="293"/>
      <c r="F175" s="293"/>
      <c r="G175" s="294" t="s">
        <v>705</v>
      </c>
      <c r="H175" s="280"/>
      <c r="I175" s="280"/>
      <c r="J175" s="280"/>
      <c r="K175" s="280"/>
      <c r="L175" s="289"/>
      <c r="M175" s="289"/>
      <c r="N175" s="289"/>
      <c r="O175" s="281"/>
      <c r="P175" s="313"/>
      <c r="Q175" s="313"/>
      <c r="R175" s="313"/>
      <c r="S175" s="313"/>
      <c r="T175" s="313"/>
      <c r="U175" s="313"/>
      <c r="V175" s="313"/>
      <c r="W175" s="313"/>
      <c r="X175" s="313"/>
      <c r="Y175" s="313"/>
      <c r="AN175" s="316">
        <f t="shared" si="40"/>
        <v>0</v>
      </c>
      <c r="AO175" s="323" t="e">
        <f t="shared" si="41"/>
        <v>#DIV/0!</v>
      </c>
    </row>
    <row r="176" spans="1:41" hidden="1" x14ac:dyDescent="0.2">
      <c r="A176" s="260" t="s">
        <v>995</v>
      </c>
      <c r="B176" s="261" t="s">
        <v>49</v>
      </c>
      <c r="C176" s="282"/>
      <c r="D176" s="293"/>
      <c r="E176" s="293"/>
      <c r="F176" s="293"/>
      <c r="G176" s="294"/>
      <c r="H176" s="280"/>
      <c r="I176" s="280"/>
      <c r="J176" s="280"/>
      <c r="K176" s="280"/>
      <c r="L176" s="289"/>
      <c r="M176" s="289"/>
      <c r="N176" s="289"/>
      <c r="O176" s="281"/>
      <c r="P176" s="313"/>
      <c r="Q176" s="313"/>
      <c r="R176" s="313"/>
      <c r="S176" s="313"/>
      <c r="T176" s="313"/>
      <c r="U176" s="313"/>
      <c r="V176" s="313"/>
      <c r="W176" s="313"/>
      <c r="X176" s="313"/>
      <c r="Y176" s="313"/>
      <c r="AN176" s="316"/>
      <c r="AO176" s="323"/>
    </row>
    <row r="177" spans="1:41" hidden="1" x14ac:dyDescent="0.2">
      <c r="A177" s="260" t="s">
        <v>427</v>
      </c>
      <c r="B177" s="261" t="s">
        <v>49</v>
      </c>
      <c r="C177" s="282">
        <v>1</v>
      </c>
      <c r="D177" s="293"/>
      <c r="E177" s="293"/>
      <c r="F177" s="293"/>
      <c r="G177" s="294" t="s">
        <v>705</v>
      </c>
      <c r="H177" s="280"/>
      <c r="I177" s="280"/>
      <c r="J177" s="280"/>
      <c r="K177" s="280"/>
      <c r="L177" s="289"/>
      <c r="M177" s="289"/>
      <c r="N177" s="289"/>
      <c r="O177" s="281"/>
      <c r="P177" s="313"/>
      <c r="Q177" s="313"/>
      <c r="R177" s="313"/>
      <c r="S177" s="313"/>
      <c r="T177" s="313"/>
      <c r="U177" s="313"/>
      <c r="V177" s="313"/>
      <c r="W177" s="313"/>
      <c r="X177" s="313"/>
      <c r="Y177" s="313"/>
      <c r="AN177" s="316">
        <f t="shared" si="40"/>
        <v>0</v>
      </c>
      <c r="AO177" s="323" t="e">
        <f t="shared" si="41"/>
        <v>#DIV/0!</v>
      </c>
    </row>
    <row r="178" spans="1:41" ht="21" hidden="1" x14ac:dyDescent="0.2">
      <c r="A178" s="260" t="s">
        <v>685</v>
      </c>
      <c r="B178" s="261" t="s">
        <v>49</v>
      </c>
      <c r="C178" s="282">
        <v>1</v>
      </c>
      <c r="D178" s="293"/>
      <c r="E178" s="293"/>
      <c r="F178" s="293"/>
      <c r="G178" s="294" t="s">
        <v>705</v>
      </c>
      <c r="H178" s="280"/>
      <c r="I178" s="280"/>
      <c r="J178" s="280"/>
      <c r="K178" s="280"/>
      <c r="L178" s="289"/>
      <c r="M178" s="289"/>
      <c r="N178" s="289"/>
      <c r="O178" s="281"/>
      <c r="P178" s="313"/>
      <c r="Q178" s="313"/>
      <c r="R178" s="313"/>
      <c r="S178" s="313"/>
      <c r="T178" s="313"/>
      <c r="U178" s="313"/>
      <c r="V178" s="313"/>
      <c r="W178" s="313"/>
      <c r="X178" s="313"/>
      <c r="Y178" s="313"/>
      <c r="AN178" s="316">
        <f t="shared" si="40"/>
        <v>0</v>
      </c>
      <c r="AO178" s="323" t="e">
        <f t="shared" si="41"/>
        <v>#DIV/0!</v>
      </c>
    </row>
    <row r="179" spans="1:41" ht="31.5" hidden="1" x14ac:dyDescent="0.2">
      <c r="A179" s="260" t="s">
        <v>996</v>
      </c>
      <c r="B179" s="261" t="s">
        <v>49</v>
      </c>
      <c r="C179" s="282">
        <v>1</v>
      </c>
      <c r="D179" s="293"/>
      <c r="E179" s="293"/>
      <c r="F179" s="293"/>
      <c r="G179" s="294" t="s">
        <v>705</v>
      </c>
      <c r="H179" s="280"/>
      <c r="I179" s="280"/>
      <c r="J179" s="280"/>
      <c r="K179" s="280"/>
      <c r="L179" s="289"/>
      <c r="M179" s="289"/>
      <c r="N179" s="289"/>
      <c r="O179" s="281"/>
      <c r="P179" s="313"/>
      <c r="Q179" s="313"/>
      <c r="R179" s="313"/>
      <c r="S179" s="313"/>
      <c r="T179" s="313"/>
      <c r="U179" s="313"/>
      <c r="V179" s="313"/>
      <c r="W179" s="313"/>
      <c r="X179" s="313"/>
      <c r="Y179" s="313"/>
      <c r="AN179" s="316">
        <f t="shared" si="40"/>
        <v>0</v>
      </c>
      <c r="AO179" s="323" t="e">
        <f t="shared" si="41"/>
        <v>#DIV/0!</v>
      </c>
    </row>
    <row r="180" spans="1:41" hidden="1" x14ac:dyDescent="0.2">
      <c r="A180" s="260" t="s">
        <v>997</v>
      </c>
      <c r="B180" s="261" t="s">
        <v>639</v>
      </c>
      <c r="C180" s="282">
        <v>1</v>
      </c>
      <c r="D180" s="293"/>
      <c r="E180" s="293"/>
      <c r="F180" s="293"/>
      <c r="G180" s="294" t="s">
        <v>705</v>
      </c>
      <c r="H180" s="280"/>
      <c r="I180" s="280"/>
      <c r="J180" s="280"/>
      <c r="K180" s="280"/>
      <c r="L180" s="289"/>
      <c r="M180" s="289"/>
      <c r="N180" s="289"/>
      <c r="O180" s="281"/>
      <c r="P180" s="313"/>
      <c r="Q180" s="313"/>
      <c r="R180" s="313"/>
      <c r="S180" s="313"/>
      <c r="T180" s="313"/>
      <c r="U180" s="313"/>
      <c r="V180" s="313"/>
      <c r="W180" s="313"/>
      <c r="X180" s="313"/>
      <c r="Y180" s="313"/>
      <c r="AN180" s="316">
        <f t="shared" si="40"/>
        <v>0</v>
      </c>
      <c r="AO180" s="323" t="e">
        <f t="shared" si="41"/>
        <v>#DIV/0!</v>
      </c>
    </row>
    <row r="181" spans="1:41" hidden="1" x14ac:dyDescent="0.2">
      <c r="A181" s="260" t="s">
        <v>638</v>
      </c>
      <c r="B181" s="261" t="s">
        <v>46</v>
      </c>
      <c r="C181" s="282">
        <v>1</v>
      </c>
      <c r="D181" s="293"/>
      <c r="E181" s="293"/>
      <c r="F181" s="293"/>
      <c r="G181" s="294" t="s">
        <v>705</v>
      </c>
      <c r="H181" s="280"/>
      <c r="I181" s="280"/>
      <c r="J181" s="280"/>
      <c r="K181" s="280"/>
      <c r="L181" s="289"/>
      <c r="M181" s="289"/>
      <c r="N181" s="289"/>
      <c r="O181" s="281"/>
      <c r="P181" s="313"/>
      <c r="Q181" s="313"/>
      <c r="R181" s="313"/>
      <c r="S181" s="313"/>
      <c r="T181" s="313"/>
      <c r="U181" s="313"/>
      <c r="V181" s="313"/>
      <c r="W181" s="313"/>
      <c r="X181" s="313"/>
      <c r="Y181" s="313"/>
      <c r="AN181" s="316">
        <f t="shared" si="40"/>
        <v>0</v>
      </c>
      <c r="AO181" s="323" t="e">
        <f t="shared" si="41"/>
        <v>#DIV/0!</v>
      </c>
    </row>
    <row r="182" spans="1:41" hidden="1" x14ac:dyDescent="0.2">
      <c r="A182" s="260" t="s">
        <v>635</v>
      </c>
      <c r="B182" s="261" t="s">
        <v>636</v>
      </c>
      <c r="C182" s="282">
        <v>1</v>
      </c>
      <c r="D182" s="293"/>
      <c r="E182" s="293"/>
      <c r="F182" s="293"/>
      <c r="G182" s="294" t="s">
        <v>705</v>
      </c>
      <c r="H182" s="280"/>
      <c r="I182" s="280"/>
      <c r="J182" s="280"/>
      <c r="K182" s="280"/>
      <c r="L182" s="289"/>
      <c r="M182" s="289"/>
      <c r="N182" s="289"/>
      <c r="O182" s="281"/>
      <c r="P182" s="313"/>
      <c r="Q182" s="313"/>
      <c r="R182" s="313"/>
      <c r="S182" s="313"/>
      <c r="T182" s="313"/>
      <c r="U182" s="313"/>
      <c r="V182" s="313"/>
      <c r="W182" s="313"/>
      <c r="X182" s="313"/>
      <c r="Y182" s="313"/>
      <c r="AN182" s="316">
        <f t="shared" si="40"/>
        <v>0</v>
      </c>
      <c r="AO182" s="323" t="e">
        <f t="shared" si="41"/>
        <v>#DIV/0!</v>
      </c>
    </row>
    <row r="183" spans="1:41" ht="52.5" hidden="1" x14ac:dyDescent="0.2">
      <c r="A183" s="260" t="s">
        <v>429</v>
      </c>
      <c r="B183" s="261" t="s">
        <v>649</v>
      </c>
      <c r="C183" s="282">
        <v>1</v>
      </c>
      <c r="D183" s="293"/>
      <c r="E183" s="293"/>
      <c r="F183" s="293"/>
      <c r="G183" s="294" t="s">
        <v>705</v>
      </c>
      <c r="H183" s="280"/>
      <c r="I183" s="280"/>
      <c r="J183" s="280"/>
      <c r="K183" s="280"/>
      <c r="L183" s="289"/>
      <c r="M183" s="289"/>
      <c r="N183" s="289"/>
      <c r="O183" s="289"/>
      <c r="P183" s="289"/>
      <c r="Q183" s="289"/>
      <c r="R183" s="313"/>
      <c r="S183" s="313"/>
      <c r="T183" s="313"/>
      <c r="U183" s="313"/>
      <c r="V183" s="313"/>
      <c r="W183" s="313"/>
      <c r="X183" s="313"/>
      <c r="Y183" s="313"/>
      <c r="AN183" s="316">
        <f>Q162-P162</f>
        <v>-8.9999999999999993E-3</v>
      </c>
      <c r="AO183" s="323">
        <f>Q162/P162-100%</f>
        <v>-0.52325581395348841</v>
      </c>
    </row>
    <row r="184" spans="1:41" hidden="1" x14ac:dyDescent="0.2">
      <c r="A184" s="260" t="s">
        <v>633</v>
      </c>
      <c r="B184" s="261" t="s">
        <v>45</v>
      </c>
      <c r="C184" s="282">
        <v>1</v>
      </c>
      <c r="D184" s="293"/>
      <c r="E184" s="293"/>
      <c r="F184" s="293"/>
      <c r="G184" s="294" t="s">
        <v>705</v>
      </c>
      <c r="H184" s="280"/>
      <c r="I184" s="280"/>
      <c r="J184" s="280"/>
      <c r="K184" s="280"/>
      <c r="L184" s="289"/>
      <c r="M184" s="289"/>
      <c r="N184" s="289"/>
      <c r="O184" s="281"/>
      <c r="P184" s="313"/>
      <c r="Q184" s="313"/>
      <c r="R184" s="313"/>
      <c r="S184" s="313"/>
      <c r="T184" s="313"/>
      <c r="U184" s="313"/>
      <c r="V184" s="313"/>
      <c r="W184" s="313"/>
      <c r="X184" s="313"/>
      <c r="Y184" s="313"/>
      <c r="AN184" s="316">
        <f t="shared" si="40"/>
        <v>0</v>
      </c>
      <c r="AO184" s="323" t="e">
        <f t="shared" si="41"/>
        <v>#DIV/0!</v>
      </c>
    </row>
    <row r="185" spans="1:41" hidden="1" x14ac:dyDescent="0.2">
      <c r="A185" s="260" t="s">
        <v>476</v>
      </c>
      <c r="B185" s="261" t="s">
        <v>628</v>
      </c>
      <c r="C185" s="282">
        <v>1</v>
      </c>
      <c r="D185" s="293"/>
      <c r="E185" s="293"/>
      <c r="F185" s="293"/>
      <c r="G185" s="294" t="s">
        <v>705</v>
      </c>
      <c r="H185" s="280"/>
      <c r="I185" s="280"/>
      <c r="J185" s="280"/>
      <c r="K185" s="280"/>
      <c r="L185" s="289"/>
      <c r="M185" s="289"/>
      <c r="N185" s="289"/>
      <c r="O185" s="281"/>
      <c r="P185" s="313"/>
      <c r="Q185" s="313"/>
      <c r="R185" s="313"/>
      <c r="S185" s="313"/>
      <c r="T185" s="313"/>
      <c r="U185" s="313"/>
      <c r="V185" s="313"/>
      <c r="W185" s="313"/>
      <c r="X185" s="313"/>
      <c r="Y185" s="313"/>
      <c r="AN185" s="316">
        <f t="shared" si="40"/>
        <v>0</v>
      </c>
      <c r="AO185" s="323" t="e">
        <f t="shared" si="41"/>
        <v>#DIV/0!</v>
      </c>
    </row>
    <row r="186" spans="1:41" hidden="1" x14ac:dyDescent="0.2">
      <c r="A186" s="260" t="s">
        <v>631</v>
      </c>
      <c r="B186" s="261" t="s">
        <v>628</v>
      </c>
      <c r="C186" s="282">
        <v>1</v>
      </c>
      <c r="D186" s="293"/>
      <c r="E186" s="293"/>
      <c r="F186" s="293"/>
      <c r="G186" s="294" t="s">
        <v>705</v>
      </c>
      <c r="H186" s="280"/>
      <c r="I186" s="280"/>
      <c r="J186" s="280"/>
      <c r="K186" s="280"/>
      <c r="L186" s="289"/>
      <c r="M186" s="289"/>
      <c r="N186" s="289"/>
      <c r="O186" s="281"/>
      <c r="P186" s="313"/>
      <c r="Q186" s="313"/>
      <c r="R186" s="313"/>
      <c r="S186" s="313"/>
      <c r="T186" s="313"/>
      <c r="U186" s="313"/>
      <c r="V186" s="313"/>
      <c r="W186" s="313"/>
      <c r="X186" s="313"/>
      <c r="Y186" s="313"/>
      <c r="AN186" s="316">
        <f t="shared" si="40"/>
        <v>0</v>
      </c>
      <c r="AO186" s="323" t="e">
        <f t="shared" si="41"/>
        <v>#DIV/0!</v>
      </c>
    </row>
    <row r="187" spans="1:41" hidden="1" x14ac:dyDescent="0.2">
      <c r="A187" s="260" t="s">
        <v>998</v>
      </c>
      <c r="B187" s="261" t="s">
        <v>45</v>
      </c>
      <c r="C187" s="282">
        <v>1</v>
      </c>
      <c r="D187" s="293"/>
      <c r="E187" s="293"/>
      <c r="F187" s="293"/>
      <c r="G187" s="294" t="s">
        <v>705</v>
      </c>
      <c r="H187" s="280"/>
      <c r="I187" s="280"/>
      <c r="J187" s="280"/>
      <c r="K187" s="280"/>
      <c r="L187" s="289"/>
      <c r="M187" s="289"/>
      <c r="N187" s="289"/>
      <c r="O187" s="281"/>
      <c r="P187" s="313"/>
      <c r="Q187" s="313"/>
      <c r="R187" s="313"/>
      <c r="S187" s="313"/>
      <c r="T187" s="313"/>
      <c r="U187" s="313"/>
      <c r="V187" s="313"/>
      <c r="W187" s="313"/>
      <c r="X187" s="313"/>
      <c r="Y187" s="313"/>
      <c r="AN187" s="316">
        <f t="shared" ref="AN187:AN222" si="45">Q187-P187</f>
        <v>0</v>
      </c>
      <c r="AO187" s="323" t="e">
        <f t="shared" ref="AO187:AO222" si="46">Q187/P187-100%</f>
        <v>#DIV/0!</v>
      </c>
    </row>
    <row r="188" spans="1:41" hidden="1" x14ac:dyDescent="0.2">
      <c r="A188" s="260" t="s">
        <v>632</v>
      </c>
      <c r="B188" s="261" t="s">
        <v>628</v>
      </c>
      <c r="C188" s="282">
        <v>1</v>
      </c>
      <c r="D188" s="293"/>
      <c r="E188" s="293"/>
      <c r="F188" s="293"/>
      <c r="G188" s="294" t="s">
        <v>705</v>
      </c>
      <c r="H188" s="280"/>
      <c r="I188" s="280"/>
      <c r="J188" s="280"/>
      <c r="K188" s="280"/>
      <c r="L188" s="289"/>
      <c r="M188" s="289"/>
      <c r="N188" s="289"/>
      <c r="O188" s="281"/>
      <c r="P188" s="313"/>
      <c r="Q188" s="313"/>
      <c r="R188" s="313"/>
      <c r="S188" s="313"/>
      <c r="T188" s="313"/>
      <c r="U188" s="313"/>
      <c r="V188" s="313"/>
      <c r="W188" s="313"/>
      <c r="X188" s="313"/>
      <c r="Y188" s="313"/>
      <c r="AN188" s="316">
        <f t="shared" si="45"/>
        <v>0</v>
      </c>
      <c r="AO188" s="323" t="e">
        <f t="shared" si="46"/>
        <v>#DIV/0!</v>
      </c>
    </row>
    <row r="189" spans="1:41" ht="52.5" hidden="1" x14ac:dyDescent="0.2">
      <c r="A189" s="260" t="s">
        <v>1000</v>
      </c>
      <c r="B189" s="261" t="s">
        <v>999</v>
      </c>
      <c r="C189" s="282"/>
      <c r="D189" s="293"/>
      <c r="E189" s="293"/>
      <c r="F189" s="293"/>
      <c r="G189" s="294"/>
      <c r="H189" s="280"/>
      <c r="I189" s="280"/>
      <c r="J189" s="280"/>
      <c r="K189" s="280"/>
      <c r="L189" s="289"/>
      <c r="M189" s="289"/>
      <c r="N189" s="289"/>
      <c r="O189" s="281"/>
      <c r="P189" s="313"/>
      <c r="Q189" s="313"/>
      <c r="R189" s="313"/>
      <c r="S189" s="313"/>
      <c r="T189" s="313"/>
      <c r="U189" s="313"/>
      <c r="V189" s="313"/>
      <c r="W189" s="313"/>
      <c r="X189" s="313"/>
      <c r="Y189" s="313"/>
      <c r="AN189" s="316"/>
      <c r="AO189" s="323"/>
    </row>
    <row r="190" spans="1:41" ht="21" hidden="1" x14ac:dyDescent="0.2">
      <c r="A190" s="260" t="s">
        <v>642</v>
      </c>
      <c r="B190" s="261" t="s">
        <v>45</v>
      </c>
      <c r="C190" s="282">
        <v>1</v>
      </c>
      <c r="D190" s="293"/>
      <c r="E190" s="293"/>
      <c r="F190" s="293"/>
      <c r="G190" s="294" t="s">
        <v>705</v>
      </c>
      <c r="H190" s="280"/>
      <c r="I190" s="280"/>
      <c r="J190" s="280"/>
      <c r="K190" s="280"/>
      <c r="L190" s="289"/>
      <c r="M190" s="289"/>
      <c r="N190" s="289"/>
      <c r="O190" s="281"/>
      <c r="P190" s="313"/>
      <c r="Q190" s="313"/>
      <c r="R190" s="313"/>
      <c r="S190" s="313"/>
      <c r="T190" s="313"/>
      <c r="U190" s="313"/>
      <c r="V190" s="313"/>
      <c r="W190" s="313"/>
      <c r="X190" s="313"/>
      <c r="Y190" s="313"/>
      <c r="AN190" s="316">
        <f t="shared" si="45"/>
        <v>0</v>
      </c>
      <c r="AO190" s="323" t="e">
        <f t="shared" si="46"/>
        <v>#DIV/0!</v>
      </c>
    </row>
    <row r="191" spans="1:41" hidden="1" x14ac:dyDescent="0.2">
      <c r="A191" s="260" t="s">
        <v>1002</v>
      </c>
      <c r="B191" s="261" t="s">
        <v>335</v>
      </c>
      <c r="C191" s="282">
        <v>1</v>
      </c>
      <c r="D191" s="293"/>
      <c r="E191" s="293"/>
      <c r="F191" s="293"/>
      <c r="G191" s="294" t="s">
        <v>705</v>
      </c>
      <c r="H191" s="280"/>
      <c r="I191" s="280"/>
      <c r="J191" s="280"/>
      <c r="K191" s="280"/>
      <c r="L191" s="289"/>
      <c r="M191" s="289"/>
      <c r="N191" s="289"/>
      <c r="O191" s="281"/>
      <c r="P191" s="313"/>
      <c r="Q191" s="313"/>
      <c r="R191" s="313"/>
      <c r="S191" s="313"/>
      <c r="T191" s="313"/>
      <c r="U191" s="313"/>
      <c r="V191" s="313"/>
      <c r="W191" s="313"/>
      <c r="X191" s="313"/>
      <c r="Y191" s="313"/>
      <c r="AN191" s="316">
        <f t="shared" si="45"/>
        <v>0</v>
      </c>
      <c r="AO191" s="323" t="e">
        <f t="shared" si="46"/>
        <v>#DIV/0!</v>
      </c>
    </row>
    <row r="192" spans="1:41" ht="31.5" hidden="1" x14ac:dyDescent="0.2">
      <c r="A192" s="260" t="s">
        <v>426</v>
      </c>
      <c r="B192" s="261" t="s">
        <v>45</v>
      </c>
      <c r="C192" s="282">
        <v>1</v>
      </c>
      <c r="D192" s="293"/>
      <c r="E192" s="293"/>
      <c r="F192" s="293"/>
      <c r="G192" s="294" t="s">
        <v>705</v>
      </c>
      <c r="H192" s="280"/>
      <c r="I192" s="280"/>
      <c r="J192" s="280"/>
      <c r="K192" s="280"/>
      <c r="L192" s="289"/>
      <c r="M192" s="289"/>
      <c r="N192" s="289"/>
      <c r="O192" s="281"/>
      <c r="P192" s="313"/>
      <c r="Q192" s="313"/>
      <c r="R192" s="313"/>
      <c r="S192" s="313"/>
      <c r="T192" s="313"/>
      <c r="U192" s="313"/>
      <c r="V192" s="313"/>
      <c r="W192" s="313"/>
      <c r="X192" s="313"/>
      <c r="Y192" s="313"/>
      <c r="AN192" s="316">
        <f t="shared" ref="AN192:AN197" si="47">Q192-P192</f>
        <v>0</v>
      </c>
      <c r="AO192" s="323" t="e">
        <f t="shared" ref="AO192:AO197" si="48">Q192/P192-100%</f>
        <v>#DIV/0!</v>
      </c>
    </row>
    <row r="193" spans="1:41" ht="21" hidden="1" x14ac:dyDescent="0.2">
      <c r="A193" s="260" t="s">
        <v>1001</v>
      </c>
      <c r="B193" s="261" t="s">
        <v>55</v>
      </c>
      <c r="C193" s="282">
        <v>1</v>
      </c>
      <c r="D193" s="293"/>
      <c r="E193" s="293"/>
      <c r="F193" s="293"/>
      <c r="G193" s="294" t="s">
        <v>705</v>
      </c>
      <c r="H193" s="280"/>
      <c r="I193" s="280"/>
      <c r="J193" s="280"/>
      <c r="K193" s="280"/>
      <c r="L193" s="289"/>
      <c r="M193" s="289"/>
      <c r="N193" s="289"/>
      <c r="O193" s="281"/>
      <c r="P193" s="313"/>
      <c r="Q193" s="313"/>
      <c r="R193" s="313"/>
      <c r="S193" s="313"/>
      <c r="T193" s="313"/>
      <c r="U193" s="313"/>
      <c r="V193" s="313"/>
      <c r="W193" s="313"/>
      <c r="X193" s="313"/>
      <c r="Y193" s="313"/>
      <c r="AN193" s="316">
        <f t="shared" si="47"/>
        <v>0</v>
      </c>
      <c r="AO193" s="323" t="e">
        <f t="shared" si="48"/>
        <v>#DIV/0!</v>
      </c>
    </row>
    <row r="194" spans="1:41" hidden="1" x14ac:dyDescent="0.2">
      <c r="A194" s="260" t="s">
        <v>641</v>
      </c>
      <c r="B194" s="261" t="s">
        <v>45</v>
      </c>
      <c r="C194" s="282">
        <v>1</v>
      </c>
      <c r="D194" s="293"/>
      <c r="E194" s="293"/>
      <c r="F194" s="293"/>
      <c r="G194" s="294" t="s">
        <v>705</v>
      </c>
      <c r="H194" s="280"/>
      <c r="I194" s="280"/>
      <c r="J194" s="280"/>
      <c r="K194" s="280"/>
      <c r="L194" s="289"/>
      <c r="M194" s="289"/>
      <c r="N194" s="289"/>
      <c r="O194" s="281"/>
      <c r="P194" s="313"/>
      <c r="Q194" s="313"/>
      <c r="R194" s="313"/>
      <c r="S194" s="313"/>
      <c r="T194" s="313"/>
      <c r="U194" s="313"/>
      <c r="V194" s="313"/>
      <c r="W194" s="313"/>
      <c r="X194" s="313"/>
      <c r="Y194" s="313"/>
      <c r="AN194" s="316">
        <f t="shared" si="47"/>
        <v>0</v>
      </c>
      <c r="AO194" s="323" t="e">
        <f t="shared" si="48"/>
        <v>#DIV/0!</v>
      </c>
    </row>
    <row r="195" spans="1:41" ht="21" hidden="1" x14ac:dyDescent="0.2">
      <c r="A195" s="260" t="s">
        <v>644</v>
      </c>
      <c r="B195" s="261" t="s">
        <v>478</v>
      </c>
      <c r="C195" s="282">
        <v>1</v>
      </c>
      <c r="D195" s="293"/>
      <c r="E195" s="293"/>
      <c r="F195" s="293"/>
      <c r="G195" s="294" t="s">
        <v>705</v>
      </c>
      <c r="H195" s="280"/>
      <c r="I195" s="280"/>
      <c r="J195" s="280"/>
      <c r="K195" s="280"/>
      <c r="L195" s="289"/>
      <c r="M195" s="289"/>
      <c r="N195" s="289"/>
      <c r="O195" s="281"/>
      <c r="P195" s="313"/>
      <c r="Q195" s="313"/>
      <c r="R195" s="313"/>
      <c r="S195" s="313"/>
      <c r="T195" s="313"/>
      <c r="U195" s="313"/>
      <c r="V195" s="313"/>
      <c r="W195" s="313"/>
      <c r="X195" s="313"/>
      <c r="Y195" s="313"/>
      <c r="AN195" s="316">
        <f t="shared" si="47"/>
        <v>0</v>
      </c>
      <c r="AO195" s="323" t="e">
        <f t="shared" si="48"/>
        <v>#DIV/0!</v>
      </c>
    </row>
    <row r="196" spans="1:41" ht="21" hidden="1" x14ac:dyDescent="0.2">
      <c r="A196" s="260" t="s">
        <v>114</v>
      </c>
      <c r="B196" s="261" t="s">
        <v>52</v>
      </c>
      <c r="C196" s="282">
        <v>1</v>
      </c>
      <c r="D196" s="293"/>
      <c r="E196" s="293"/>
      <c r="F196" s="293"/>
      <c r="G196" s="294" t="s">
        <v>705</v>
      </c>
      <c r="H196" s="280"/>
      <c r="I196" s="280"/>
      <c r="J196" s="280"/>
      <c r="K196" s="280"/>
      <c r="L196" s="289"/>
      <c r="M196" s="289"/>
      <c r="N196" s="289"/>
      <c r="O196" s="260"/>
      <c r="P196" s="313"/>
      <c r="Q196" s="313"/>
      <c r="R196" s="313"/>
      <c r="S196" s="313"/>
      <c r="T196" s="313"/>
      <c r="U196" s="313"/>
      <c r="V196" s="313"/>
      <c r="W196" s="313"/>
      <c r="X196" s="313"/>
      <c r="Y196" s="313"/>
      <c r="AN196" s="316">
        <f t="shared" si="47"/>
        <v>0</v>
      </c>
      <c r="AO196" s="323" t="e">
        <f t="shared" si="48"/>
        <v>#DIV/0!</v>
      </c>
    </row>
    <row r="197" spans="1:41" hidden="1" x14ac:dyDescent="0.2">
      <c r="A197" s="260" t="s">
        <v>634</v>
      </c>
      <c r="B197" s="261" t="s">
        <v>52</v>
      </c>
      <c r="C197" s="282">
        <v>1</v>
      </c>
      <c r="D197" s="293"/>
      <c r="E197" s="293"/>
      <c r="F197" s="293"/>
      <c r="G197" s="294" t="s">
        <v>705</v>
      </c>
      <c r="H197" s="280"/>
      <c r="I197" s="280"/>
      <c r="J197" s="280"/>
      <c r="K197" s="280"/>
      <c r="L197" s="289"/>
      <c r="M197" s="289"/>
      <c r="N197" s="289"/>
      <c r="O197" s="281"/>
      <c r="P197" s="313"/>
      <c r="Q197" s="313"/>
      <c r="R197" s="313"/>
      <c r="S197" s="313"/>
      <c r="T197" s="313"/>
      <c r="U197" s="313"/>
      <c r="V197" s="313"/>
      <c r="W197" s="313"/>
      <c r="X197" s="313"/>
      <c r="Y197" s="313"/>
      <c r="AN197" s="316">
        <f t="shared" si="47"/>
        <v>0</v>
      </c>
      <c r="AO197" s="323" t="e">
        <f t="shared" si="48"/>
        <v>#DIV/0!</v>
      </c>
    </row>
    <row r="198" spans="1:41" hidden="1" x14ac:dyDescent="0.2">
      <c r="A198" s="260" t="s">
        <v>1003</v>
      </c>
      <c r="B198" s="261" t="s">
        <v>325</v>
      </c>
      <c r="C198" s="282"/>
      <c r="D198" s="293"/>
      <c r="E198" s="293"/>
      <c r="F198" s="293"/>
      <c r="G198" s="294"/>
      <c r="H198" s="280"/>
      <c r="I198" s="280"/>
      <c r="J198" s="280"/>
      <c r="K198" s="280"/>
      <c r="L198" s="289"/>
      <c r="M198" s="289"/>
      <c r="N198" s="289"/>
      <c r="O198" s="281"/>
      <c r="P198" s="313"/>
      <c r="Q198" s="313"/>
      <c r="R198" s="313"/>
      <c r="S198" s="313"/>
      <c r="T198" s="313"/>
      <c r="U198" s="313"/>
      <c r="V198" s="313"/>
      <c r="W198" s="313"/>
      <c r="X198" s="313"/>
      <c r="Y198" s="313"/>
      <c r="AN198" s="316"/>
      <c r="AO198" s="323"/>
    </row>
    <row r="199" spans="1:41" hidden="1" x14ac:dyDescent="0.2">
      <c r="A199" s="260" t="s">
        <v>640</v>
      </c>
      <c r="B199" s="261" t="s">
        <v>52</v>
      </c>
      <c r="C199" s="282">
        <v>1</v>
      </c>
      <c r="D199" s="293"/>
      <c r="E199" s="293"/>
      <c r="F199" s="293"/>
      <c r="G199" s="294" t="s">
        <v>705</v>
      </c>
      <c r="H199" s="280"/>
      <c r="I199" s="280"/>
      <c r="J199" s="280"/>
      <c r="K199" s="280"/>
      <c r="L199" s="289"/>
      <c r="M199" s="289"/>
      <c r="N199" s="289"/>
      <c r="O199" s="281"/>
      <c r="P199" s="313"/>
      <c r="Q199" s="313"/>
      <c r="R199" s="313"/>
      <c r="S199" s="313"/>
      <c r="T199" s="313"/>
      <c r="U199" s="313"/>
      <c r="V199" s="313"/>
      <c r="W199" s="313"/>
      <c r="X199" s="313"/>
      <c r="Y199" s="313"/>
      <c r="AN199" s="316">
        <f>Q199-P199</f>
        <v>0</v>
      </c>
      <c r="AO199" s="323" t="e">
        <f>Q199/P199-100%</f>
        <v>#DIV/0!</v>
      </c>
    </row>
    <row r="200" spans="1:41" hidden="1" x14ac:dyDescent="0.2">
      <c r="A200" s="260" t="s">
        <v>805</v>
      </c>
      <c r="B200" s="261" t="s">
        <v>52</v>
      </c>
      <c r="C200" s="282">
        <v>1</v>
      </c>
      <c r="D200" s="293"/>
      <c r="E200" s="293"/>
      <c r="F200" s="293"/>
      <c r="G200" s="294" t="s">
        <v>705</v>
      </c>
      <c r="H200" s="280"/>
      <c r="I200" s="280"/>
      <c r="J200" s="280"/>
      <c r="K200" s="280"/>
      <c r="L200" s="289"/>
      <c r="M200" s="289"/>
      <c r="N200" s="289"/>
      <c r="O200" s="281"/>
      <c r="P200" s="313"/>
      <c r="Q200" s="313"/>
      <c r="R200" s="313"/>
      <c r="S200" s="313"/>
      <c r="T200" s="313"/>
      <c r="U200" s="313"/>
      <c r="V200" s="313"/>
      <c r="W200" s="313"/>
      <c r="X200" s="313"/>
      <c r="Y200" s="313"/>
      <c r="AN200" s="316">
        <f>Q200-P200</f>
        <v>0</v>
      </c>
      <c r="AO200" s="323" t="e">
        <f>Q200/P200-100%</f>
        <v>#DIV/0!</v>
      </c>
    </row>
    <row r="201" spans="1:41" x14ac:dyDescent="0.2">
      <c r="A201" s="260" t="s">
        <v>686</v>
      </c>
      <c r="B201" s="261" t="s">
        <v>645</v>
      </c>
      <c r="C201" s="282"/>
      <c r="D201" s="293"/>
      <c r="E201" s="293"/>
      <c r="F201" s="293"/>
      <c r="G201" s="294"/>
      <c r="H201" s="280"/>
      <c r="I201" s="280"/>
      <c r="J201" s="280"/>
      <c r="K201" s="280"/>
      <c r="L201" s="281">
        <f>L205/1000</f>
        <v>19.984000000000002</v>
      </c>
      <c r="M201" s="290">
        <f>M205/1000</f>
        <v>17.478999999999999</v>
      </c>
      <c r="N201" s="290">
        <f>N205/1000</f>
        <v>11.986000000000001</v>
      </c>
      <c r="O201" s="290">
        <f>O205/1000</f>
        <v>19.72</v>
      </c>
      <c r="P201" s="290">
        <f>P205/1000</f>
        <v>19.091999999999999</v>
      </c>
      <c r="Q201" s="290">
        <f>Q205</f>
        <v>248.75</v>
      </c>
      <c r="R201" s="290">
        <f>R205</f>
        <v>203.47</v>
      </c>
      <c r="S201" s="290">
        <f>S205</f>
        <v>203.47</v>
      </c>
      <c r="T201" s="290">
        <f>T205</f>
        <v>203.47</v>
      </c>
      <c r="U201" s="512">
        <f>T201*1.01</f>
        <v>205.50470000000001</v>
      </c>
      <c r="V201" s="290">
        <f>V205</f>
        <v>203.47</v>
      </c>
      <c r="W201" s="512">
        <f>V201*1.01</f>
        <v>205.50470000000001</v>
      </c>
      <c r="X201" s="513">
        <f>X205</f>
        <v>203.47</v>
      </c>
      <c r="Y201" s="512">
        <f>X201*1.01</f>
        <v>205.50470000000001</v>
      </c>
      <c r="AN201" s="316">
        <f>Q201-P201</f>
        <v>229.65800000000002</v>
      </c>
      <c r="AO201" s="323">
        <f>Q201/P201-100%</f>
        <v>12.029017389482506</v>
      </c>
    </row>
    <row r="202" spans="1:41" x14ac:dyDescent="0.2">
      <c r="A202" s="260" t="s">
        <v>1004</v>
      </c>
      <c r="B202" s="261"/>
      <c r="C202" s="282"/>
      <c r="D202" s="293"/>
      <c r="E202" s="293"/>
      <c r="F202" s="293"/>
      <c r="G202" s="294"/>
      <c r="H202" s="280"/>
      <c r="I202" s="280"/>
      <c r="J202" s="280"/>
      <c r="K202" s="280"/>
      <c r="L202" s="289"/>
      <c r="M202" s="289"/>
      <c r="N202" s="289"/>
      <c r="O202" s="281"/>
      <c r="P202" s="313"/>
      <c r="Q202" s="313"/>
      <c r="R202" s="313"/>
      <c r="S202" s="313"/>
      <c r="T202" s="313"/>
      <c r="U202" s="313"/>
      <c r="V202" s="313"/>
      <c r="W202" s="313"/>
      <c r="X202" s="313"/>
      <c r="Y202" s="313"/>
      <c r="AN202" s="316">
        <f>Q202-P202</f>
        <v>0</v>
      </c>
      <c r="AO202" s="323" t="e">
        <f>Q202/P202-100%</f>
        <v>#DIV/0!</v>
      </c>
    </row>
    <row r="203" spans="1:41" x14ac:dyDescent="0.2">
      <c r="A203" s="260" t="s">
        <v>1005</v>
      </c>
      <c r="B203" s="261" t="s">
        <v>645</v>
      </c>
      <c r="C203" s="282"/>
      <c r="D203" s="293"/>
      <c r="E203" s="293"/>
      <c r="F203" s="293"/>
      <c r="G203" s="294"/>
      <c r="H203" s="280"/>
      <c r="I203" s="280"/>
      <c r="J203" s="280"/>
      <c r="K203" s="280"/>
      <c r="L203" s="289"/>
      <c r="M203" s="289"/>
      <c r="N203" s="289"/>
      <c r="O203" s="281"/>
      <c r="P203" s="313"/>
      <c r="Q203" s="313"/>
      <c r="R203" s="313"/>
      <c r="S203" s="313"/>
      <c r="T203" s="313"/>
      <c r="U203" s="313"/>
      <c r="V203" s="313"/>
      <c r="W203" s="313"/>
      <c r="X203" s="313"/>
      <c r="Y203" s="313"/>
      <c r="AN203" s="316"/>
      <c r="AO203" s="323"/>
    </row>
    <row r="204" spans="1:41" x14ac:dyDescent="0.2">
      <c r="A204" s="260" t="s">
        <v>1006</v>
      </c>
      <c r="B204" s="261" t="s">
        <v>645</v>
      </c>
      <c r="C204" s="282"/>
      <c r="D204" s="293"/>
      <c r="E204" s="293"/>
      <c r="F204" s="293"/>
      <c r="G204" s="294"/>
      <c r="H204" s="280"/>
      <c r="I204" s="280"/>
      <c r="J204" s="280"/>
      <c r="K204" s="280"/>
      <c r="L204" s="289"/>
      <c r="M204" s="289"/>
      <c r="N204" s="289"/>
      <c r="O204" s="281"/>
      <c r="P204" s="313"/>
      <c r="Q204" s="313"/>
      <c r="R204" s="313"/>
      <c r="S204" s="313"/>
      <c r="T204" s="313"/>
      <c r="U204" s="313"/>
      <c r="V204" s="313"/>
      <c r="W204" s="313"/>
      <c r="X204" s="313"/>
      <c r="Y204" s="313"/>
      <c r="AN204" s="316"/>
      <c r="AO204" s="323"/>
    </row>
    <row r="205" spans="1:41" x14ac:dyDescent="0.2">
      <c r="A205" s="260" t="s">
        <v>1007</v>
      </c>
      <c r="B205" s="261" t="s">
        <v>645</v>
      </c>
      <c r="C205" s="282"/>
      <c r="D205" s="293"/>
      <c r="E205" s="293"/>
      <c r="F205" s="293"/>
      <c r="G205" s="294"/>
      <c r="H205" s="280"/>
      <c r="I205" s="280"/>
      <c r="J205" s="280"/>
      <c r="K205" s="280"/>
      <c r="L205" s="281">
        <f>L112</f>
        <v>19984</v>
      </c>
      <c r="M205" s="514">
        <f>M112</f>
        <v>17479</v>
      </c>
      <c r="N205" s="514">
        <f>N112</f>
        <v>11986</v>
      </c>
      <c r="O205" s="514">
        <f>O112</f>
        <v>19720</v>
      </c>
      <c r="P205" s="514">
        <f>P112</f>
        <v>19092</v>
      </c>
      <c r="Q205" s="313">
        <f>Q112/100</f>
        <v>248.75</v>
      </c>
      <c r="R205" s="313">
        <f t="shared" ref="R205:X205" si="49">R112/100</f>
        <v>203.47</v>
      </c>
      <c r="S205" s="313">
        <f t="shared" si="49"/>
        <v>203.47</v>
      </c>
      <c r="T205" s="313">
        <f t="shared" si="49"/>
        <v>203.47</v>
      </c>
      <c r="U205" s="325">
        <f>T205*1.01</f>
        <v>205.50470000000001</v>
      </c>
      <c r="V205" s="313">
        <f t="shared" si="49"/>
        <v>203.47</v>
      </c>
      <c r="W205" s="325">
        <f>V205*1.01</f>
        <v>205.50470000000001</v>
      </c>
      <c r="X205" s="313">
        <f t="shared" si="49"/>
        <v>203.47</v>
      </c>
      <c r="Y205" s="325">
        <f>X205*1.01</f>
        <v>205.50470000000001</v>
      </c>
      <c r="AN205" s="316">
        <f>Q205-P205</f>
        <v>-18843.25</v>
      </c>
      <c r="AO205" s="323">
        <f>Q205/P205-100%</f>
        <v>-0.98697098261051752</v>
      </c>
    </row>
    <row r="206" spans="1:41" ht="14.25" x14ac:dyDescent="0.2">
      <c r="A206" s="292" t="s">
        <v>385</v>
      </c>
      <c r="B206" s="344"/>
      <c r="C206" s="282"/>
      <c r="D206" s="293"/>
      <c r="E206" s="293"/>
      <c r="F206" s="293"/>
      <c r="G206" s="294"/>
      <c r="H206" s="280"/>
      <c r="I206" s="280"/>
      <c r="J206" s="280"/>
      <c r="K206" s="280"/>
      <c r="L206" s="281"/>
      <c r="M206" s="281"/>
      <c r="N206" s="281"/>
      <c r="O206" s="281"/>
      <c r="P206" s="313"/>
      <c r="Q206" s="313"/>
      <c r="R206" s="313"/>
      <c r="S206" s="313"/>
      <c r="T206" s="313"/>
      <c r="U206" s="313"/>
      <c r="V206" s="313"/>
      <c r="W206" s="313"/>
      <c r="X206" s="313"/>
      <c r="Y206" s="313"/>
      <c r="AN206" s="316">
        <f t="shared" si="45"/>
        <v>0</v>
      </c>
      <c r="AO206" s="323" t="e">
        <f t="shared" si="46"/>
        <v>#DIV/0!</v>
      </c>
    </row>
    <row r="207" spans="1:41" ht="21" x14ac:dyDescent="0.2">
      <c r="A207" s="260" t="s">
        <v>107</v>
      </c>
      <c r="B207" s="261" t="s">
        <v>345</v>
      </c>
      <c r="C207" s="282">
        <v>1</v>
      </c>
      <c r="D207" s="293"/>
      <c r="E207" s="293"/>
      <c r="F207" s="293"/>
      <c r="G207" s="294" t="s">
        <v>705</v>
      </c>
      <c r="H207" s="280"/>
      <c r="I207" s="280"/>
      <c r="J207" s="280"/>
      <c r="K207" s="280"/>
      <c r="L207" s="499">
        <v>433.4</v>
      </c>
      <c r="M207" s="499">
        <v>744.7</v>
      </c>
      <c r="N207" s="499">
        <v>1432.4</v>
      </c>
      <c r="O207" s="499">
        <v>1841.6</v>
      </c>
      <c r="P207" s="328">
        <v>1308.9000000000001</v>
      </c>
      <c r="Q207" s="515">
        <v>1353.4</v>
      </c>
      <c r="R207" s="313">
        <f>Q207*R208/100*R209/100</f>
        <v>1480.5913369675211</v>
      </c>
      <c r="S207" s="313">
        <f>R207*S208/100*S209/100</f>
        <v>1507.8134331615374</v>
      </c>
      <c r="T207" s="313">
        <f>S207*T208/100*T209/100</f>
        <v>1581.2431172547472</v>
      </c>
      <c r="U207" s="313">
        <f>S207*U208/100*U209/100</f>
        <v>0</v>
      </c>
      <c r="V207" s="313">
        <f>T207*V208/100*V209/100</f>
        <v>1636.8183441898991</v>
      </c>
      <c r="W207" s="313">
        <f>U207*W208/100*W209/100</f>
        <v>0</v>
      </c>
      <c r="X207" s="313">
        <f>V207*X208/100*X209/100</f>
        <v>1673.7380173401464</v>
      </c>
      <c r="Y207" s="313">
        <f>W207*Y208/100*Y209/100</f>
        <v>0</v>
      </c>
      <c r="AN207" s="316">
        <f t="shared" si="45"/>
        <v>44.5</v>
      </c>
      <c r="AO207" s="323">
        <f t="shared" si="46"/>
        <v>3.3998013599205512E-2</v>
      </c>
    </row>
    <row r="208" spans="1:41" ht="21" x14ac:dyDescent="0.2">
      <c r="A208" s="260" t="s">
        <v>110</v>
      </c>
      <c r="B208" s="261" t="s">
        <v>907</v>
      </c>
      <c r="C208" s="282">
        <v>1</v>
      </c>
      <c r="D208" s="293"/>
      <c r="E208" s="293"/>
      <c r="F208" s="293"/>
      <c r="G208" s="294" t="s">
        <v>704</v>
      </c>
      <c r="H208" s="280"/>
      <c r="I208" s="280"/>
      <c r="J208" s="280"/>
      <c r="K208" s="280"/>
      <c r="L208" s="281"/>
      <c r="M208" s="389">
        <v>124.2</v>
      </c>
      <c r="N208" s="389">
        <v>163.28</v>
      </c>
      <c r="O208" s="305">
        <f>O207/N207*100</f>
        <v>128.56743926277574</v>
      </c>
      <c r="P208" s="326">
        <f>P207/O207*100</f>
        <v>71.074066029539537</v>
      </c>
      <c r="Q208" s="326">
        <f>Q207/P207*100</f>
        <v>103.39980135992054</v>
      </c>
      <c r="R208" s="326">
        <f>AVERAGE(O208,P208,Q208)</f>
        <v>101.01376888407862</v>
      </c>
      <c r="S208" s="326">
        <f>AVERAGE(P208,Q208,R208)</f>
        <v>91.829212091179556</v>
      </c>
      <c r="T208" s="326">
        <f>AVERAGE(Q208,R208,S208)</f>
        <v>98.747594111726244</v>
      </c>
      <c r="U208" s="353">
        <f>T208*1.01</f>
        <v>99.735070052843511</v>
      </c>
      <c r="V208" s="326">
        <f>AVERAGE(R208,S208,T208)</f>
        <v>97.196858362328143</v>
      </c>
      <c r="W208" s="353">
        <f>V208*1.01</f>
        <v>98.168826945951423</v>
      </c>
      <c r="X208" s="326">
        <f>AVERAGE(S208,T208,V208)</f>
        <v>95.924554855077986</v>
      </c>
      <c r="Y208" s="353">
        <f>X208*1.01</f>
        <v>96.883800403628769</v>
      </c>
      <c r="AN208" s="316">
        <f t="shared" si="45"/>
        <v>32.325735330381008</v>
      </c>
      <c r="AO208" s="323">
        <f t="shared" si="46"/>
        <v>0.45481758869607813</v>
      </c>
    </row>
    <row r="209" spans="1:41" ht="31.5" x14ac:dyDescent="0.2">
      <c r="A209" s="260" t="s">
        <v>108</v>
      </c>
      <c r="B209" s="261" t="s">
        <v>898</v>
      </c>
      <c r="C209" s="282">
        <v>1</v>
      </c>
      <c r="D209" s="293"/>
      <c r="E209" s="293"/>
      <c r="F209" s="293"/>
      <c r="G209" s="294" t="s">
        <v>706</v>
      </c>
      <c r="H209" s="280"/>
      <c r="I209" s="280"/>
      <c r="J209" s="280"/>
      <c r="K209" s="280"/>
      <c r="L209" s="281">
        <v>117.8</v>
      </c>
      <c r="M209" s="305">
        <v>120.3</v>
      </c>
      <c r="N209" s="305">
        <v>117.8</v>
      </c>
      <c r="O209" s="305">
        <v>109.9</v>
      </c>
      <c r="P209" s="326">
        <v>108.6</v>
      </c>
      <c r="Q209" s="326">
        <v>106.4</v>
      </c>
      <c r="R209" s="326">
        <v>108.3</v>
      </c>
      <c r="S209" s="516">
        <v>110.9</v>
      </c>
      <c r="T209" s="516">
        <v>106.2</v>
      </c>
      <c r="U209" s="516"/>
      <c r="V209" s="516">
        <v>106.5</v>
      </c>
      <c r="W209" s="516">
        <v>106.8</v>
      </c>
      <c r="X209" s="516">
        <v>106.6</v>
      </c>
      <c r="Y209" s="516">
        <v>106.9</v>
      </c>
      <c r="AN209" s="316">
        <f t="shared" si="45"/>
        <v>-2.1999999999999886</v>
      </c>
      <c r="AO209" s="323">
        <f t="shared" si="46"/>
        <v>-2.025782688766109E-2</v>
      </c>
    </row>
    <row r="210" spans="1:41" x14ac:dyDescent="0.2">
      <c r="A210" s="260" t="s">
        <v>1008</v>
      </c>
      <c r="B210" s="261" t="s">
        <v>1009</v>
      </c>
      <c r="C210" s="282"/>
      <c r="D210" s="293"/>
      <c r="E210" s="293"/>
      <c r="F210" s="293"/>
      <c r="G210" s="294"/>
      <c r="H210" s="280"/>
      <c r="I210" s="280"/>
      <c r="J210" s="280"/>
      <c r="K210" s="280"/>
      <c r="L210" s="281">
        <v>39.299999999999997</v>
      </c>
      <c r="M210" s="281">
        <v>29.4</v>
      </c>
      <c r="N210" s="281">
        <v>16.5</v>
      </c>
      <c r="O210" s="281">
        <v>23.603000000000002</v>
      </c>
      <c r="P210" s="313">
        <v>18.399999999999999</v>
      </c>
      <c r="Q210" s="313">
        <v>9.2569999999999997</v>
      </c>
      <c r="R210" s="324">
        <v>23.975999999999999</v>
      </c>
      <c r="S210" s="517">
        <f>AVERAGE(N210,O210,P210,Q210,R210)</f>
        <v>18.347200000000001</v>
      </c>
      <c r="T210" s="517">
        <f>AVERAGE(O210,P210,Q210,R210,S210)</f>
        <v>18.716639999999998</v>
      </c>
      <c r="U210" s="517">
        <f>AVERAGE(O210,P210,Q210,R210,S210)</f>
        <v>18.716639999999998</v>
      </c>
      <c r="V210" s="517">
        <f t="shared" ref="V210:X211" si="50">AVERAGE(P210,Q210,R210,O210,T210)</f>
        <v>18.790527999999998</v>
      </c>
      <c r="W210" s="517">
        <f t="shared" si="50"/>
        <v>17.739367999999999</v>
      </c>
      <c r="X210" s="517">
        <f t="shared" si="50"/>
        <v>17.8174736</v>
      </c>
      <c r="Y210" s="517">
        <f>AVERAGE(S210,Q210,U210,R210,W210)</f>
        <v>17.607241600000002</v>
      </c>
      <c r="AN210" s="316"/>
      <c r="AO210" s="323"/>
    </row>
    <row r="211" spans="1:41" ht="21" x14ac:dyDescent="0.2">
      <c r="A211" s="260" t="s">
        <v>1010</v>
      </c>
      <c r="B211" s="261" t="s">
        <v>469</v>
      </c>
      <c r="C211" s="282"/>
      <c r="D211" s="293"/>
      <c r="E211" s="293"/>
      <c r="F211" s="293"/>
      <c r="G211" s="294"/>
      <c r="H211" s="280"/>
      <c r="I211" s="280"/>
      <c r="J211" s="280"/>
      <c r="K211" s="280"/>
      <c r="L211" s="281"/>
      <c r="M211" s="317">
        <f>14.7/M210</f>
        <v>0.5</v>
      </c>
      <c r="N211" s="317">
        <f>8.2/N210</f>
        <v>0.49696969696969695</v>
      </c>
      <c r="O211" s="317">
        <f>10.2/O210</f>
        <v>0.43214845570478322</v>
      </c>
      <c r="P211" s="317">
        <f>12.5/P210</f>
        <v>0.67934782608695654</v>
      </c>
      <c r="Q211" s="317">
        <f>6.491/Q210</f>
        <v>0.70119909257858914</v>
      </c>
      <c r="R211" s="317">
        <f>23.976/R210</f>
        <v>1</v>
      </c>
      <c r="S211" s="317">
        <f>AVERAGE(N211,O211,P211,Q211,R211)</f>
        <v>0.6619330142680051</v>
      </c>
      <c r="T211" s="317">
        <f>AVERAGE(O211,P211,Q211,R211,S211)</f>
        <v>0.69492567772766678</v>
      </c>
      <c r="U211" s="317">
        <f>AVERAGE(O211,P211,Q211,R211,S211)</f>
        <v>0.69492567772766678</v>
      </c>
      <c r="V211" s="317">
        <f t="shared" si="50"/>
        <v>0.70152421041959923</v>
      </c>
      <c r="W211" s="317">
        <f t="shared" si="50"/>
        <v>0.74748112213224349</v>
      </c>
      <c r="X211" s="317">
        <f t="shared" si="50"/>
        <v>0.75191639899877205</v>
      </c>
      <c r="Y211" s="317">
        <f>AVERAGE(S211,Q211,U211,R211,W211)</f>
        <v>0.76110778134130086</v>
      </c>
      <c r="AN211" s="316"/>
      <c r="AO211" s="323"/>
    </row>
    <row r="212" spans="1:41" ht="28.5" x14ac:dyDescent="0.2">
      <c r="A212" s="292" t="s">
        <v>1011</v>
      </c>
      <c r="B212" s="261"/>
      <c r="C212" s="282"/>
      <c r="D212" s="293"/>
      <c r="E212" s="293"/>
      <c r="F212" s="293"/>
      <c r="G212" s="294"/>
      <c r="H212" s="280"/>
      <c r="I212" s="280"/>
      <c r="J212" s="280"/>
      <c r="K212" s="280"/>
      <c r="L212" s="281"/>
      <c r="M212" s="281"/>
      <c r="N212" s="281"/>
      <c r="O212" s="281"/>
      <c r="P212" s="313"/>
      <c r="Q212" s="313"/>
      <c r="R212" s="313"/>
      <c r="S212" s="313"/>
      <c r="T212" s="313"/>
      <c r="U212" s="313"/>
      <c r="V212" s="313"/>
      <c r="W212" s="313"/>
      <c r="X212" s="313"/>
      <c r="Y212" s="313"/>
      <c r="AN212" s="316">
        <f t="shared" si="45"/>
        <v>0</v>
      </c>
      <c r="AO212" s="323" t="e">
        <f t="shared" si="46"/>
        <v>#DIV/0!</v>
      </c>
    </row>
    <row r="213" spans="1:41" s="304" customFormat="1" ht="27" x14ac:dyDescent="0.2">
      <c r="A213" s="337" t="s">
        <v>272</v>
      </c>
      <c r="B213" s="341" t="s">
        <v>138</v>
      </c>
      <c r="C213" s="338">
        <v>1</v>
      </c>
      <c r="D213" s="339"/>
      <c r="E213" s="339"/>
      <c r="F213" s="339"/>
      <c r="G213" s="339" t="s">
        <v>704</v>
      </c>
      <c r="H213" s="340"/>
      <c r="I213" s="340"/>
      <c r="J213" s="340"/>
      <c r="K213" s="340"/>
      <c r="L213" s="326">
        <v>114.1</v>
      </c>
      <c r="M213" s="326">
        <v>111.7</v>
      </c>
      <c r="N213" s="326">
        <v>106.9</v>
      </c>
      <c r="O213" s="326">
        <v>108.4</v>
      </c>
      <c r="P213" s="326">
        <v>105.1</v>
      </c>
      <c r="Q213" s="326">
        <v>106.8</v>
      </c>
      <c r="R213" s="326">
        <v>106.4</v>
      </c>
      <c r="S213" s="516">
        <v>113.5</v>
      </c>
      <c r="T213" s="516">
        <v>106.8</v>
      </c>
      <c r="U213" s="516">
        <v>106</v>
      </c>
      <c r="V213" s="516">
        <v>106.3</v>
      </c>
      <c r="W213" s="516">
        <v>105.9</v>
      </c>
      <c r="X213" s="516">
        <v>105.5</v>
      </c>
      <c r="Y213" s="516">
        <v>105.2</v>
      </c>
      <c r="AN213" s="316">
        <f t="shared" si="45"/>
        <v>1.7000000000000028</v>
      </c>
      <c r="AO213" s="323">
        <f t="shared" si="46"/>
        <v>1.6175071360609028E-2</v>
      </c>
    </row>
    <row r="214" spans="1:41" s="266" customFormat="1" ht="27" x14ac:dyDescent="0.2">
      <c r="A214" s="264" t="s">
        <v>59</v>
      </c>
      <c r="B214" s="265" t="s">
        <v>1012</v>
      </c>
      <c r="C214" s="295">
        <v>1</v>
      </c>
      <c r="D214" s="296"/>
      <c r="E214" s="296"/>
      <c r="F214" s="296"/>
      <c r="G214" s="297" t="s">
        <v>705</v>
      </c>
      <c r="H214" s="298"/>
      <c r="I214" s="298"/>
      <c r="J214" s="298"/>
      <c r="K214" s="298"/>
      <c r="L214" s="332">
        <v>2361.1999999999998</v>
      </c>
      <c r="M214" s="332">
        <v>2606.1</v>
      </c>
      <c r="N214" s="430">
        <v>2687.6</v>
      </c>
      <c r="O214" s="430">
        <v>3075.6527880000003</v>
      </c>
      <c r="P214" s="430">
        <v>3295.2363336971675</v>
      </c>
      <c r="Q214" s="430">
        <v>3796.3264663194755</v>
      </c>
      <c r="R214" s="430">
        <v>4742.1000000000004</v>
      </c>
      <c r="S214" s="430">
        <v>5015.7</v>
      </c>
      <c r="T214" s="430">
        <v>5448.2</v>
      </c>
      <c r="U214" s="322">
        <f>S214*U215*U216</f>
        <v>5435.7140309009992</v>
      </c>
      <c r="V214" s="430">
        <v>5896.3</v>
      </c>
      <c r="W214" s="322">
        <f>U214*W215*W216</f>
        <v>5932.1067032583696</v>
      </c>
      <c r="X214" s="430">
        <v>6255.7</v>
      </c>
      <c r="Y214" s="322">
        <f>W214*Y215*Y216</f>
        <v>6354.2823733713594</v>
      </c>
      <c r="Z214" s="421" t="s">
        <v>951</v>
      </c>
      <c r="AH214" s="425">
        <f>S214/R214-100%</f>
        <v>5.7695957487189142E-2</v>
      </c>
      <c r="AN214" s="316">
        <f t="shared" si="45"/>
        <v>501.09013262230792</v>
      </c>
      <c r="AO214" s="323">
        <f t="shared" si="46"/>
        <v>0.15206500592936179</v>
      </c>
    </row>
    <row r="215" spans="1:41" s="304" customFormat="1" ht="18" x14ac:dyDescent="0.2">
      <c r="A215" s="263" t="s">
        <v>59</v>
      </c>
      <c r="B215" s="283" t="s">
        <v>907</v>
      </c>
      <c r="C215" s="302">
        <v>1</v>
      </c>
      <c r="D215" s="299"/>
      <c r="E215" s="299"/>
      <c r="F215" s="299"/>
      <c r="G215" s="300" t="s">
        <v>704</v>
      </c>
      <c r="H215" s="303"/>
      <c r="I215" s="303"/>
      <c r="J215" s="303"/>
      <c r="K215" s="303"/>
      <c r="L215" s="518">
        <v>0.93016975889576048</v>
      </c>
      <c r="M215" s="518">
        <v>1.0007184482466542</v>
      </c>
      <c r="N215" s="342">
        <f t="shared" ref="N215:T215" si="51">N214/M214-(N$222-100%)</f>
        <v>0.95027278308583707</v>
      </c>
      <c r="O215" s="342">
        <f t="shared" si="51"/>
        <v>1.0583863625539516</v>
      </c>
      <c r="P215" s="342">
        <f t="shared" si="51"/>
        <v>1.0183941269813994</v>
      </c>
      <c r="Q215" s="342">
        <f t="shared" si="51"/>
        <v>1.0950650059293618</v>
      </c>
      <c r="R215" s="342">
        <f t="shared" si="51"/>
        <v>1.1971286094784805</v>
      </c>
      <c r="S215" s="342">
        <f t="shared" si="51"/>
        <v>0.96269595748718917</v>
      </c>
      <c r="T215" s="342">
        <f t="shared" si="51"/>
        <v>1.0132292401858165</v>
      </c>
      <c r="U215" s="432">
        <f>T215*1.01</f>
        <v>1.0233615325876746</v>
      </c>
      <c r="V215" s="342">
        <f>V214/T214-(V$222-100%)</f>
        <v>1.02224734774788</v>
      </c>
      <c r="W215" s="432">
        <f>V215*1.01</f>
        <v>1.0324698212253587</v>
      </c>
      <c r="X215" s="342">
        <f>X214/V214-(X$222-100%)</f>
        <v>1.0129534793005783</v>
      </c>
      <c r="Y215" s="432">
        <f>X215*1.01</f>
        <v>1.023083014093584</v>
      </c>
      <c r="AN215" s="316">
        <f t="shared" si="45"/>
        <v>7.6670878947962429E-2</v>
      </c>
      <c r="AO215" s="323">
        <f t="shared" si="46"/>
        <v>7.5286057643734638E-2</v>
      </c>
    </row>
    <row r="216" spans="1:41" ht="21" x14ac:dyDescent="0.2">
      <c r="A216" s="260" t="s">
        <v>60</v>
      </c>
      <c r="B216" s="261" t="s">
        <v>898</v>
      </c>
      <c r="C216" s="282">
        <v>1</v>
      </c>
      <c r="D216" s="293"/>
      <c r="E216" s="293"/>
      <c r="F216" s="293"/>
      <c r="G216" s="294" t="s">
        <v>706</v>
      </c>
      <c r="H216" s="280"/>
      <c r="I216" s="280"/>
      <c r="J216" s="280"/>
      <c r="K216" s="280"/>
      <c r="L216" s="321">
        <v>1.1279999999999999</v>
      </c>
      <c r="M216" s="321">
        <v>1.103</v>
      </c>
      <c r="N216" s="321">
        <v>1.0620000000000001</v>
      </c>
      <c r="O216" s="321">
        <v>1.08</v>
      </c>
      <c r="P216" s="317">
        <v>1.054</v>
      </c>
      <c r="Q216" s="317">
        <v>1.0649999999999999</v>
      </c>
      <c r="R216" s="317">
        <v>1.0620000000000001</v>
      </c>
      <c r="S216" s="433">
        <v>1.1659999999999999</v>
      </c>
      <c r="T216" s="433">
        <v>1.0640000000000001</v>
      </c>
      <c r="U216" s="433">
        <v>1.0589999999999999</v>
      </c>
      <c r="V216" s="433">
        <v>1.0620000000000001</v>
      </c>
      <c r="W216" s="433">
        <v>1.0569999999999999</v>
      </c>
      <c r="X216" s="433">
        <v>1.05</v>
      </c>
      <c r="Y216" s="433">
        <v>1.0469999999999999</v>
      </c>
      <c r="AN216" s="316">
        <f t="shared" si="45"/>
        <v>1.0999999999999899E-2</v>
      </c>
      <c r="AO216" s="323">
        <f t="shared" si="46"/>
        <v>1.0436432637570991E-2</v>
      </c>
    </row>
    <row r="217" spans="1:41" s="266" customFormat="1" x14ac:dyDescent="0.2">
      <c r="A217" s="264" t="s">
        <v>586</v>
      </c>
      <c r="B217" s="265" t="s">
        <v>345</v>
      </c>
      <c r="C217" s="295">
        <v>1</v>
      </c>
      <c r="D217" s="296"/>
      <c r="E217" s="296"/>
      <c r="F217" s="296"/>
      <c r="G217" s="297" t="s">
        <v>705</v>
      </c>
      <c r="H217" s="298"/>
      <c r="I217" s="298"/>
      <c r="J217" s="298"/>
      <c r="K217" s="298"/>
      <c r="L217" s="332">
        <v>616.1</v>
      </c>
      <c r="M217" s="332">
        <v>607.79999999999995</v>
      </c>
      <c r="N217" s="430">
        <v>663.4</v>
      </c>
      <c r="O217" s="430">
        <v>735.37103491451171</v>
      </c>
      <c r="P217" s="430">
        <v>755.27835608592932</v>
      </c>
      <c r="Q217" s="430">
        <v>805.76572052504446</v>
      </c>
      <c r="R217" s="430">
        <v>850.10314972869753</v>
      </c>
      <c r="S217" s="322">
        <v>981.48818711381386</v>
      </c>
      <c r="T217" s="322">
        <v>1039.3656565735737</v>
      </c>
      <c r="U217" s="322">
        <f>S217*U218*U219</f>
        <v>1042.8795997733362</v>
      </c>
      <c r="V217" s="322">
        <v>1096.2225755358288</v>
      </c>
      <c r="W217" s="322">
        <f>U217*W218*W219</f>
        <v>1106.402380880907</v>
      </c>
      <c r="X217" s="322">
        <v>1142.9803654671896</v>
      </c>
      <c r="Y217" s="322">
        <f>W217*Y218*Y219</f>
        <v>1171.512496361157</v>
      </c>
      <c r="Z217" s="266" t="s">
        <v>244</v>
      </c>
      <c r="AE217" s="425">
        <f>S217/R217-100%</f>
        <v>0.15455187694228245</v>
      </c>
      <c r="AN217" s="316">
        <f t="shared" si="45"/>
        <v>50.48736443911514</v>
      </c>
      <c r="AO217" s="323">
        <f t="shared" si="46"/>
        <v>6.684603634182662E-2</v>
      </c>
    </row>
    <row r="218" spans="1:41" s="304" customFormat="1" ht="18" x14ac:dyDescent="0.2">
      <c r="A218" s="263" t="s">
        <v>586</v>
      </c>
      <c r="B218" s="283" t="s">
        <v>907</v>
      </c>
      <c r="C218" s="302">
        <v>1</v>
      </c>
      <c r="D218" s="299"/>
      <c r="E218" s="299"/>
      <c r="F218" s="299"/>
      <c r="G218" s="300" t="s">
        <v>704</v>
      </c>
      <c r="H218" s="303"/>
      <c r="I218" s="303"/>
      <c r="J218" s="303"/>
      <c r="K218" s="303"/>
      <c r="L218" s="342">
        <v>1.1007594734742723</v>
      </c>
      <c r="M218" s="342">
        <v>0.8835281610128225</v>
      </c>
      <c r="N218" s="342">
        <f t="shared" ref="N218:T218" si="52">N217/M217-(N$222-100%)</f>
        <v>1.0104774596906878</v>
      </c>
      <c r="O218" s="342">
        <f t="shared" si="52"/>
        <v>1.0224881442787332</v>
      </c>
      <c r="P218" s="342">
        <f t="shared" si="52"/>
        <v>0.9740711249508649</v>
      </c>
      <c r="Q218" s="342">
        <f t="shared" si="52"/>
        <v>1.0098460363418267</v>
      </c>
      <c r="R218" s="342">
        <f t="shared" si="52"/>
        <v>1.0030252115152807</v>
      </c>
      <c r="S218" s="342">
        <f t="shared" si="52"/>
        <v>1.0595518769422825</v>
      </c>
      <c r="T218" s="342">
        <f t="shared" si="52"/>
        <v>0.98596909429950008</v>
      </c>
      <c r="U218" s="432">
        <f>T218*1.01</f>
        <v>0.99582878524249507</v>
      </c>
      <c r="V218" s="342">
        <f>V217/T217-(V$222-100%)</f>
        <v>0.99470348053416791</v>
      </c>
      <c r="W218" s="432">
        <f>V218*1.01</f>
        <v>1.0046505153395096</v>
      </c>
      <c r="X218" s="342">
        <f>X217/V217-(X$222-100%)</f>
        <v>0.99465355501231656</v>
      </c>
      <c r="Y218" s="432">
        <f>X218*1.01</f>
        <v>1.0046000905624397</v>
      </c>
      <c r="AN218" s="316">
        <f t="shared" si="45"/>
        <v>3.5774911390961783E-2</v>
      </c>
      <c r="AO218" s="323">
        <f t="shared" si="46"/>
        <v>3.6727206540247748E-2</v>
      </c>
    </row>
    <row r="219" spans="1:41" s="304" customFormat="1" ht="21" x14ac:dyDescent="0.2">
      <c r="A219" s="263" t="s">
        <v>273</v>
      </c>
      <c r="B219" s="283" t="s">
        <v>58</v>
      </c>
      <c r="C219" s="302">
        <v>1</v>
      </c>
      <c r="D219" s="299"/>
      <c r="E219" s="299"/>
      <c r="F219" s="299"/>
      <c r="G219" s="300" t="s">
        <v>704</v>
      </c>
      <c r="H219" s="303"/>
      <c r="I219" s="303"/>
      <c r="J219" s="303"/>
      <c r="K219" s="303"/>
      <c r="L219" s="342">
        <v>1.0569999999999999</v>
      </c>
      <c r="M219" s="342">
        <v>1.0569999999999999</v>
      </c>
      <c r="N219" s="342">
        <v>1.0569999999999999</v>
      </c>
      <c r="O219" s="342">
        <v>1.091</v>
      </c>
      <c r="P219" s="317">
        <v>1.0509999999999999</v>
      </c>
      <c r="Q219" s="317">
        <v>1.081</v>
      </c>
      <c r="R219" s="317">
        <v>1.06</v>
      </c>
      <c r="S219" s="433">
        <v>1.1539999999999999</v>
      </c>
      <c r="T219" s="433">
        <v>1.0669999999999999</v>
      </c>
      <c r="U219" s="433">
        <f>T219</f>
        <v>1.0669999999999999</v>
      </c>
      <c r="V219" s="433">
        <v>1.056</v>
      </c>
      <c r="W219" s="433">
        <f>V219</f>
        <v>1.056</v>
      </c>
      <c r="X219" s="433">
        <v>1.054</v>
      </c>
      <c r="Y219" s="433">
        <f>X219</f>
        <v>1.054</v>
      </c>
      <c r="AN219" s="316">
        <f t="shared" si="45"/>
        <v>3.0000000000000027E-2</v>
      </c>
      <c r="AO219" s="323">
        <f t="shared" si="46"/>
        <v>2.8544243577545148E-2</v>
      </c>
    </row>
    <row r="220" spans="1:41" s="266" customFormat="1" x14ac:dyDescent="0.2">
      <c r="A220" s="264" t="s">
        <v>587</v>
      </c>
      <c r="B220" s="265" t="s">
        <v>345</v>
      </c>
      <c r="C220" s="295">
        <v>1</v>
      </c>
      <c r="D220" s="296"/>
      <c r="E220" s="296"/>
      <c r="F220" s="296"/>
      <c r="G220" s="297" t="s">
        <v>705</v>
      </c>
      <c r="H220" s="298"/>
      <c r="I220" s="298"/>
      <c r="J220" s="298"/>
      <c r="K220" s="298"/>
      <c r="L220" s="332">
        <v>1153.9000000000001</v>
      </c>
      <c r="M220" s="332">
        <v>1225.7</v>
      </c>
      <c r="N220" s="430">
        <v>1511.9</v>
      </c>
      <c r="O220" s="430">
        <v>1471.3719572250152</v>
      </c>
      <c r="P220" s="430">
        <v>1602.9216940924944</v>
      </c>
      <c r="Q220" s="430">
        <v>1687.9</v>
      </c>
      <c r="R220" s="430">
        <v>1527.79</v>
      </c>
      <c r="S220" s="430">
        <v>1546.48</v>
      </c>
      <c r="T220" s="430">
        <v>1614.8</v>
      </c>
      <c r="U220" s="322">
        <f>S220*U221*U222</f>
        <v>1626.1447037312003</v>
      </c>
      <c r="V220" s="430">
        <v>1717.2</v>
      </c>
      <c r="W220" s="322">
        <f>U220*W221*W222</f>
        <v>1745.2451128727441</v>
      </c>
      <c r="X220" s="430">
        <v>1813.6</v>
      </c>
      <c r="Y220" s="322">
        <f>W220*Y221*Y222</f>
        <v>1862.3402450694798</v>
      </c>
      <c r="Z220" s="266" t="s">
        <v>951</v>
      </c>
      <c r="AH220" s="425">
        <f>S220/R220-100%</f>
        <v>1.2233356678601259E-2</v>
      </c>
      <c r="AN220" s="316">
        <f t="shared" si="45"/>
        <v>84.978305907505728</v>
      </c>
      <c r="AO220" s="323">
        <f t="shared" si="46"/>
        <v>5.3014633354012242E-2</v>
      </c>
    </row>
    <row r="221" spans="1:41" s="304" customFormat="1" ht="18" x14ac:dyDescent="0.2">
      <c r="A221" s="263" t="s">
        <v>587</v>
      </c>
      <c r="B221" s="283" t="s">
        <v>907</v>
      </c>
      <c r="C221" s="302">
        <v>1</v>
      </c>
      <c r="D221" s="299"/>
      <c r="E221" s="299"/>
      <c r="F221" s="299"/>
      <c r="G221" s="300" t="s">
        <v>704</v>
      </c>
      <c r="H221" s="303"/>
      <c r="I221" s="303"/>
      <c r="J221" s="303"/>
      <c r="K221" s="303"/>
      <c r="L221" s="431">
        <v>0.95299999999999996</v>
      </c>
      <c r="M221" s="431">
        <v>0.95099999999999996</v>
      </c>
      <c r="N221" s="342">
        <f t="shared" ref="N221:T221" si="53">N220/M220-(N$222-100%)</f>
        <v>1.1524992249326915</v>
      </c>
      <c r="O221" s="342">
        <f t="shared" si="53"/>
        <v>0.88719396601958789</v>
      </c>
      <c r="P221" s="342">
        <f t="shared" si="53"/>
        <v>1.0364061737560772</v>
      </c>
      <c r="Q221" s="342">
        <f t="shared" si="53"/>
        <v>0.9960146333540123</v>
      </c>
      <c r="R221" s="342">
        <f t="shared" si="53"/>
        <v>0.85314248474435672</v>
      </c>
      <c r="S221" s="342">
        <f t="shared" si="53"/>
        <v>0.91723335667860129</v>
      </c>
      <c r="T221" s="342">
        <f t="shared" si="53"/>
        <v>0.97117774558998504</v>
      </c>
      <c r="U221" s="432">
        <f>T221*1.01</f>
        <v>0.98088952304588495</v>
      </c>
      <c r="V221" s="342">
        <f>V220/T220-(V$222-100%)</f>
        <v>1.0034134258112459</v>
      </c>
      <c r="W221" s="432">
        <f>V221*1.01</f>
        <v>1.0134475600693584</v>
      </c>
      <c r="X221" s="342">
        <f>X220/V220-(X$222-100%)</f>
        <v>1.0081378989051943</v>
      </c>
      <c r="Y221" s="432">
        <f>X221*1.01</f>
        <v>1.0182192778942463</v>
      </c>
      <c r="AN221" s="316">
        <f t="shared" si="45"/>
        <v>-4.039154040206494E-2</v>
      </c>
      <c r="AO221" s="323">
        <f t="shared" si="46"/>
        <v>-3.8972693741953002E-2</v>
      </c>
    </row>
    <row r="222" spans="1:41" s="304" customFormat="1" ht="19.5" customHeight="1" x14ac:dyDescent="0.2">
      <c r="A222" s="263" t="s">
        <v>499</v>
      </c>
      <c r="B222" s="283" t="s">
        <v>898</v>
      </c>
      <c r="C222" s="302"/>
      <c r="D222" s="299"/>
      <c r="E222" s="299"/>
      <c r="F222" s="299"/>
      <c r="G222" s="300"/>
      <c r="H222" s="303"/>
      <c r="I222" s="303"/>
      <c r="J222" s="303"/>
      <c r="K222" s="303"/>
      <c r="L222" s="317">
        <v>1.143</v>
      </c>
      <c r="M222" s="317">
        <v>1.1319999999999999</v>
      </c>
      <c r="N222" s="342">
        <v>1.081</v>
      </c>
      <c r="O222" s="342">
        <v>1.0860000000000001</v>
      </c>
      <c r="P222" s="317">
        <v>1.0529999999999999</v>
      </c>
      <c r="Q222" s="317">
        <v>1.0569999999999999</v>
      </c>
      <c r="R222" s="317">
        <v>1.052</v>
      </c>
      <c r="S222" s="433">
        <v>1.095</v>
      </c>
      <c r="T222" s="433">
        <v>1.073</v>
      </c>
      <c r="U222" s="433">
        <v>1.0720000000000001</v>
      </c>
      <c r="V222" s="433">
        <v>1.06</v>
      </c>
      <c r="W222" s="433">
        <v>1.0589999999999999</v>
      </c>
      <c r="X222" s="433">
        <v>1.048</v>
      </c>
      <c r="Y222" s="433">
        <v>1.048</v>
      </c>
      <c r="AN222" s="316">
        <f t="shared" si="45"/>
        <v>4.0000000000000036E-3</v>
      </c>
      <c r="AO222" s="323">
        <f t="shared" si="46"/>
        <v>3.7986704653372172E-3</v>
      </c>
    </row>
    <row r="223" spans="1:41" ht="21" hidden="1" x14ac:dyDescent="0.2">
      <c r="A223" s="264" t="s">
        <v>1013</v>
      </c>
      <c r="B223" s="261"/>
      <c r="C223" s="282"/>
      <c r="D223" s="293"/>
      <c r="E223" s="293"/>
      <c r="F223" s="293"/>
      <c r="G223" s="294"/>
      <c r="H223" s="280"/>
      <c r="I223" s="280"/>
      <c r="J223" s="280"/>
      <c r="K223" s="280"/>
      <c r="L223" s="290"/>
      <c r="M223" s="290"/>
      <c r="N223" s="290"/>
      <c r="O223" s="290"/>
      <c r="P223" s="290"/>
      <c r="Q223" s="290"/>
      <c r="R223" s="290"/>
      <c r="S223" s="290"/>
      <c r="T223" s="290"/>
      <c r="U223" s="290"/>
      <c r="V223" s="290"/>
      <c r="W223" s="290"/>
      <c r="X223" s="290"/>
      <c r="Y223" s="290"/>
      <c r="AN223" s="316">
        <f t="shared" ref="AN223:AN257" si="54">Q223-P223</f>
        <v>0</v>
      </c>
      <c r="AO223" s="323" t="e">
        <f t="shared" ref="AO223:AO257" si="55">Q223/P223-100%</f>
        <v>#DIV/0!</v>
      </c>
    </row>
    <row r="224" spans="1:41" ht="45" hidden="1" x14ac:dyDescent="0.2">
      <c r="A224" s="260" t="s">
        <v>1014</v>
      </c>
      <c r="B224" s="261" t="s">
        <v>1015</v>
      </c>
      <c r="C224" s="282">
        <v>1</v>
      </c>
      <c r="D224" s="293"/>
      <c r="E224" s="293"/>
      <c r="F224" s="293"/>
      <c r="G224" s="294" t="s">
        <v>705</v>
      </c>
      <c r="H224" s="280"/>
      <c r="I224" s="280"/>
      <c r="J224" s="280"/>
      <c r="K224" s="280"/>
      <c r="L224" s="281"/>
      <c r="M224" s="281"/>
      <c r="N224" s="281"/>
      <c r="O224" s="281"/>
      <c r="P224" s="313"/>
      <c r="Q224" s="313"/>
      <c r="R224" s="313"/>
      <c r="S224" s="313"/>
      <c r="T224" s="313"/>
      <c r="U224" s="313"/>
      <c r="V224" s="313"/>
      <c r="W224" s="313"/>
      <c r="X224" s="313"/>
      <c r="Y224" s="313"/>
      <c r="AN224" s="316">
        <f t="shared" si="54"/>
        <v>0</v>
      </c>
      <c r="AO224" s="323" t="e">
        <f t="shared" si="55"/>
        <v>#DIV/0!</v>
      </c>
    </row>
    <row r="225" spans="1:41" ht="45" hidden="1" x14ac:dyDescent="0.2">
      <c r="A225" s="260" t="s">
        <v>1016</v>
      </c>
      <c r="B225" s="261" t="s">
        <v>1015</v>
      </c>
      <c r="C225" s="282">
        <v>1</v>
      </c>
      <c r="D225" s="293"/>
      <c r="E225" s="293"/>
      <c r="F225" s="293"/>
      <c r="G225" s="294" t="s">
        <v>705</v>
      </c>
      <c r="H225" s="280"/>
      <c r="I225" s="280"/>
      <c r="J225" s="280"/>
      <c r="K225" s="280"/>
      <c r="L225" s="281"/>
      <c r="M225" s="281"/>
      <c r="N225" s="281"/>
      <c r="O225" s="281"/>
      <c r="P225" s="313"/>
      <c r="Q225" s="313"/>
      <c r="R225" s="313"/>
      <c r="S225" s="313"/>
      <c r="T225" s="313"/>
      <c r="U225" s="313"/>
      <c r="V225" s="313"/>
      <c r="W225" s="313"/>
      <c r="X225" s="313"/>
      <c r="Y225" s="313"/>
      <c r="AN225" s="316">
        <f t="shared" si="54"/>
        <v>0</v>
      </c>
      <c r="AO225" s="323" t="e">
        <f t="shared" si="55"/>
        <v>#DIV/0!</v>
      </c>
    </row>
    <row r="226" spans="1:41" ht="45" hidden="1" x14ac:dyDescent="0.2">
      <c r="A226" s="260" t="s">
        <v>1017</v>
      </c>
      <c r="B226" s="261" t="s">
        <v>1015</v>
      </c>
      <c r="C226" s="282"/>
      <c r="D226" s="293"/>
      <c r="E226" s="293"/>
      <c r="F226" s="293"/>
      <c r="G226" s="294"/>
      <c r="H226" s="280"/>
      <c r="I226" s="280"/>
      <c r="J226" s="280"/>
      <c r="K226" s="280"/>
      <c r="L226" s="281"/>
      <c r="M226" s="281"/>
      <c r="N226" s="281"/>
      <c r="O226" s="281"/>
      <c r="P226" s="313"/>
      <c r="Q226" s="313"/>
      <c r="R226" s="313"/>
      <c r="S226" s="313"/>
      <c r="T226" s="313"/>
      <c r="U226" s="313"/>
      <c r="V226" s="313"/>
      <c r="W226" s="313"/>
      <c r="X226" s="313"/>
      <c r="Y226" s="313"/>
      <c r="AN226" s="316">
        <f t="shared" si="54"/>
        <v>0</v>
      </c>
      <c r="AO226" s="323" t="e">
        <f t="shared" si="55"/>
        <v>#DIV/0!</v>
      </c>
    </row>
    <row r="227" spans="1:41" ht="21" hidden="1" x14ac:dyDescent="0.2">
      <c r="A227" s="260" t="s">
        <v>1018</v>
      </c>
      <c r="B227" s="261"/>
      <c r="C227" s="282">
        <v>1</v>
      </c>
      <c r="D227" s="293"/>
      <c r="E227" s="293"/>
      <c r="F227" s="293"/>
      <c r="G227" s="294" t="s">
        <v>705</v>
      </c>
      <c r="H227" s="280"/>
      <c r="I227" s="280"/>
      <c r="J227" s="280"/>
      <c r="K227" s="280"/>
      <c r="L227" s="281"/>
      <c r="M227" s="281"/>
      <c r="N227" s="281"/>
      <c r="O227" s="281"/>
      <c r="P227" s="313"/>
      <c r="Q227" s="313"/>
      <c r="R227" s="313"/>
      <c r="S227" s="313"/>
      <c r="T227" s="313"/>
      <c r="U227" s="313"/>
      <c r="V227" s="313"/>
      <c r="W227" s="313"/>
      <c r="X227" s="313"/>
      <c r="Y227" s="313"/>
      <c r="AN227" s="316">
        <f t="shared" si="54"/>
        <v>0</v>
      </c>
      <c r="AO227" s="323" t="e">
        <f t="shared" si="55"/>
        <v>#DIV/0!</v>
      </c>
    </row>
    <row r="228" spans="1:41" ht="42" hidden="1" x14ac:dyDescent="0.2">
      <c r="A228" s="260" t="s">
        <v>1019</v>
      </c>
      <c r="B228" s="261" t="s">
        <v>1020</v>
      </c>
      <c r="C228" s="282"/>
      <c r="D228" s="293"/>
      <c r="E228" s="293"/>
      <c r="F228" s="293"/>
      <c r="G228" s="294"/>
      <c r="H228" s="280"/>
      <c r="I228" s="280"/>
      <c r="J228" s="280"/>
      <c r="K228" s="280"/>
      <c r="L228" s="281"/>
      <c r="M228" s="281"/>
      <c r="N228" s="281"/>
      <c r="O228" s="281"/>
      <c r="P228" s="313"/>
      <c r="Q228" s="313"/>
      <c r="R228" s="313"/>
      <c r="S228" s="313"/>
      <c r="T228" s="313"/>
      <c r="U228" s="313"/>
      <c r="V228" s="313"/>
      <c r="W228" s="313"/>
      <c r="X228" s="313"/>
      <c r="Y228" s="313"/>
      <c r="AN228" s="316">
        <f t="shared" si="54"/>
        <v>0</v>
      </c>
      <c r="AO228" s="323" t="e">
        <f t="shared" si="55"/>
        <v>#DIV/0!</v>
      </c>
    </row>
    <row r="229" spans="1:41" ht="18" hidden="1" x14ac:dyDescent="0.2">
      <c r="A229" s="260" t="s">
        <v>1021</v>
      </c>
      <c r="B229" s="261" t="s">
        <v>1020</v>
      </c>
      <c r="C229" s="282">
        <v>1</v>
      </c>
      <c r="D229" s="293"/>
      <c r="E229" s="293"/>
      <c r="F229" s="293"/>
      <c r="G229" s="294" t="s">
        <v>705</v>
      </c>
      <c r="H229" s="280"/>
      <c r="I229" s="280"/>
      <c r="J229" s="280"/>
      <c r="K229" s="280"/>
      <c r="L229" s="281"/>
      <c r="M229" s="281"/>
      <c r="N229" s="281"/>
      <c r="O229" s="281"/>
      <c r="P229" s="313"/>
      <c r="Q229" s="313"/>
      <c r="R229" s="313"/>
      <c r="S229" s="313"/>
      <c r="T229" s="313"/>
      <c r="U229" s="313"/>
      <c r="V229" s="313"/>
      <c r="W229" s="313"/>
      <c r="X229" s="313"/>
      <c r="Y229" s="313"/>
      <c r="AN229" s="316">
        <f t="shared" si="54"/>
        <v>0</v>
      </c>
      <c r="AO229" s="323" t="e">
        <f t="shared" si="55"/>
        <v>#DIV/0!</v>
      </c>
    </row>
    <row r="230" spans="1:41" ht="21" hidden="1" x14ac:dyDescent="0.2">
      <c r="A230" s="260" t="s">
        <v>1022</v>
      </c>
      <c r="B230" s="261" t="s">
        <v>615</v>
      </c>
      <c r="C230" s="282">
        <v>1</v>
      </c>
      <c r="D230" s="293"/>
      <c r="E230" s="293"/>
      <c r="F230" s="293"/>
      <c r="G230" s="294" t="s">
        <v>705</v>
      </c>
      <c r="H230" s="280"/>
      <c r="I230" s="280"/>
      <c r="J230" s="280"/>
      <c r="K230" s="280"/>
      <c r="L230" s="281"/>
      <c r="M230" s="281"/>
      <c r="N230" s="281"/>
      <c r="O230" s="281"/>
      <c r="P230" s="313"/>
      <c r="Q230" s="313"/>
      <c r="R230" s="313"/>
      <c r="S230" s="313"/>
      <c r="T230" s="313"/>
      <c r="U230" s="313"/>
      <c r="V230" s="313"/>
      <c r="W230" s="313"/>
      <c r="X230" s="313"/>
      <c r="Y230" s="313"/>
      <c r="AN230" s="316">
        <f t="shared" si="54"/>
        <v>0</v>
      </c>
      <c r="AO230" s="323" t="e">
        <f t="shared" si="55"/>
        <v>#DIV/0!</v>
      </c>
    </row>
    <row r="231" spans="1:41" ht="21" hidden="1" x14ac:dyDescent="0.2">
      <c r="A231" s="260" t="s">
        <v>1022</v>
      </c>
      <c r="B231" s="261" t="s">
        <v>1023</v>
      </c>
      <c r="C231" s="282">
        <v>1</v>
      </c>
      <c r="D231" s="293"/>
      <c r="E231" s="293"/>
      <c r="F231" s="293"/>
      <c r="G231" s="294" t="s">
        <v>705</v>
      </c>
      <c r="H231" s="280"/>
      <c r="I231" s="280"/>
      <c r="J231" s="280"/>
      <c r="K231" s="280"/>
      <c r="L231" s="281"/>
      <c r="M231" s="281"/>
      <c r="N231" s="281"/>
      <c r="O231" s="281"/>
      <c r="P231" s="313"/>
      <c r="Q231" s="313"/>
      <c r="R231" s="313"/>
      <c r="S231" s="313"/>
      <c r="T231" s="313"/>
      <c r="U231" s="313"/>
      <c r="V231" s="313"/>
      <c r="W231" s="313"/>
      <c r="X231" s="313"/>
      <c r="Y231" s="313"/>
      <c r="AN231" s="316">
        <f t="shared" si="54"/>
        <v>0</v>
      </c>
      <c r="AO231" s="323" t="e">
        <f t="shared" si="55"/>
        <v>#DIV/0!</v>
      </c>
    </row>
    <row r="232" spans="1:41" hidden="1" x14ac:dyDescent="0.2">
      <c r="A232" s="260" t="s">
        <v>1024</v>
      </c>
      <c r="B232" s="261"/>
      <c r="C232" s="282">
        <v>1</v>
      </c>
      <c r="D232" s="293"/>
      <c r="E232" s="293"/>
      <c r="F232" s="293"/>
      <c r="G232" s="294" t="s">
        <v>705</v>
      </c>
      <c r="H232" s="280"/>
      <c r="I232" s="280"/>
      <c r="J232" s="280"/>
      <c r="K232" s="280"/>
      <c r="L232" s="281"/>
      <c r="M232" s="281"/>
      <c r="N232" s="281"/>
      <c r="O232" s="281"/>
      <c r="P232" s="313"/>
      <c r="Q232" s="313"/>
      <c r="R232" s="313"/>
      <c r="S232" s="313"/>
      <c r="T232" s="313"/>
      <c r="U232" s="313"/>
      <c r="V232" s="313"/>
      <c r="W232" s="313"/>
      <c r="X232" s="313"/>
      <c r="Y232" s="313"/>
      <c r="AN232" s="316">
        <f t="shared" si="54"/>
        <v>0</v>
      </c>
      <c r="AO232" s="323" t="e">
        <f t="shared" si="55"/>
        <v>#DIV/0!</v>
      </c>
    </row>
    <row r="233" spans="1:41" ht="36" hidden="1" x14ac:dyDescent="0.2">
      <c r="A233" s="260" t="s">
        <v>1025</v>
      </c>
      <c r="B233" s="261" t="s">
        <v>1026</v>
      </c>
      <c r="C233" s="282">
        <v>1</v>
      </c>
      <c r="D233" s="293"/>
      <c r="E233" s="293"/>
      <c r="F233" s="293"/>
      <c r="G233" s="294" t="s">
        <v>705</v>
      </c>
      <c r="H233" s="280"/>
      <c r="I233" s="280"/>
      <c r="J233" s="280"/>
      <c r="K233" s="280"/>
      <c r="L233" s="281"/>
      <c r="M233" s="281"/>
      <c r="N233" s="281"/>
      <c r="O233" s="281"/>
      <c r="P233" s="313"/>
      <c r="Q233" s="313"/>
      <c r="R233" s="313"/>
      <c r="S233" s="313"/>
      <c r="T233" s="313"/>
      <c r="U233" s="313"/>
      <c r="V233" s="313"/>
      <c r="W233" s="313"/>
      <c r="X233" s="313"/>
      <c r="Y233" s="313"/>
      <c r="AN233" s="316">
        <f t="shared" si="54"/>
        <v>0</v>
      </c>
      <c r="AO233" s="323" t="e">
        <f t="shared" si="55"/>
        <v>#DIV/0!</v>
      </c>
    </row>
    <row r="234" spans="1:41" ht="36" hidden="1" x14ac:dyDescent="0.2">
      <c r="A234" s="260" t="s">
        <v>1027</v>
      </c>
      <c r="B234" s="261" t="s">
        <v>1026</v>
      </c>
      <c r="C234" s="282">
        <v>1</v>
      </c>
      <c r="D234" s="293"/>
      <c r="E234" s="293"/>
      <c r="F234" s="293"/>
      <c r="G234" s="294" t="s">
        <v>705</v>
      </c>
      <c r="H234" s="280"/>
      <c r="I234" s="280"/>
      <c r="J234" s="280"/>
      <c r="K234" s="280"/>
      <c r="L234" s="281"/>
      <c r="M234" s="281"/>
      <c r="N234" s="281"/>
      <c r="O234" s="281"/>
      <c r="P234" s="313"/>
      <c r="Q234" s="313"/>
      <c r="R234" s="313"/>
      <c r="S234" s="313"/>
      <c r="T234" s="313"/>
      <c r="U234" s="313"/>
      <c r="V234" s="313"/>
      <c r="W234" s="313"/>
      <c r="X234" s="313"/>
      <c r="Y234" s="313"/>
      <c r="AN234" s="316">
        <f t="shared" si="54"/>
        <v>0</v>
      </c>
      <c r="AO234" s="323" t="e">
        <f t="shared" si="55"/>
        <v>#DIV/0!</v>
      </c>
    </row>
    <row r="235" spans="1:41" ht="28.5" x14ac:dyDescent="0.2">
      <c r="A235" s="292" t="s">
        <v>65</v>
      </c>
      <c r="B235" s="261"/>
      <c r="C235" s="282">
        <v>1</v>
      </c>
      <c r="D235" s="293"/>
      <c r="E235" s="293"/>
      <c r="F235" s="293"/>
      <c r="G235" s="294" t="s">
        <v>705</v>
      </c>
      <c r="H235" s="280"/>
      <c r="I235" s="280"/>
      <c r="J235" s="280"/>
      <c r="K235" s="280"/>
      <c r="L235" s="281"/>
      <c r="M235" s="281"/>
      <c r="N235" s="281"/>
      <c r="O235" s="281"/>
      <c r="P235" s="313"/>
      <c r="Q235" s="313"/>
      <c r="R235" s="313"/>
      <c r="S235" s="313"/>
      <c r="T235" s="313"/>
      <c r="U235" s="313"/>
      <c r="V235" s="313"/>
      <c r="W235" s="313"/>
      <c r="X235" s="313"/>
      <c r="Y235" s="313"/>
      <c r="AN235" s="316">
        <f t="shared" si="54"/>
        <v>0</v>
      </c>
      <c r="AO235" s="323" t="e">
        <f t="shared" si="55"/>
        <v>#DIV/0!</v>
      </c>
    </row>
    <row r="236" spans="1:41" hidden="1" x14ac:dyDescent="0.2">
      <c r="A236" s="260" t="s">
        <v>555</v>
      </c>
      <c r="B236" s="261" t="s">
        <v>66</v>
      </c>
      <c r="C236" s="282"/>
      <c r="D236" s="293"/>
      <c r="E236" s="293"/>
      <c r="F236" s="293"/>
      <c r="G236" s="294"/>
      <c r="H236" s="280"/>
      <c r="I236" s="280"/>
      <c r="J236" s="280"/>
      <c r="K236" s="280"/>
      <c r="L236" s="281"/>
      <c r="M236" s="281"/>
      <c r="N236" s="281"/>
      <c r="O236" s="281"/>
      <c r="P236" s="313"/>
      <c r="Q236" s="313"/>
      <c r="R236" s="313"/>
      <c r="S236" s="313"/>
      <c r="T236" s="313"/>
      <c r="U236" s="313"/>
      <c r="V236" s="313"/>
      <c r="W236" s="313"/>
      <c r="X236" s="313"/>
      <c r="Y236" s="313"/>
      <c r="AN236" s="316">
        <f t="shared" si="54"/>
        <v>0</v>
      </c>
      <c r="AO236" s="323" t="e">
        <f t="shared" si="55"/>
        <v>#DIV/0!</v>
      </c>
    </row>
    <row r="237" spans="1:41" hidden="1" x14ac:dyDescent="0.2">
      <c r="A237" s="260" t="s">
        <v>556</v>
      </c>
      <c r="B237" s="261" t="s">
        <v>66</v>
      </c>
      <c r="C237" s="282">
        <v>1</v>
      </c>
      <c r="D237" s="293"/>
      <c r="E237" s="293"/>
      <c r="F237" s="293"/>
      <c r="G237" s="294" t="s">
        <v>705</v>
      </c>
      <c r="H237" s="280"/>
      <c r="I237" s="280"/>
      <c r="J237" s="280"/>
      <c r="K237" s="280"/>
      <c r="L237" s="281"/>
      <c r="M237" s="281"/>
      <c r="N237" s="281"/>
      <c r="O237" s="281"/>
      <c r="P237" s="313"/>
      <c r="Q237" s="313"/>
      <c r="R237" s="313"/>
      <c r="S237" s="313"/>
      <c r="T237" s="313"/>
      <c r="U237" s="313"/>
      <c r="V237" s="313"/>
      <c r="W237" s="313"/>
      <c r="X237" s="313"/>
      <c r="Y237" s="313"/>
      <c r="AN237" s="316">
        <f t="shared" si="54"/>
        <v>0</v>
      </c>
      <c r="AO237" s="323" t="e">
        <f t="shared" si="55"/>
        <v>#DIV/0!</v>
      </c>
    </row>
    <row r="238" spans="1:41" hidden="1" x14ac:dyDescent="0.2">
      <c r="A238" s="264" t="s">
        <v>111</v>
      </c>
      <c r="B238" s="261"/>
      <c r="C238" s="282">
        <v>1</v>
      </c>
      <c r="D238" s="293"/>
      <c r="E238" s="293"/>
      <c r="F238" s="293"/>
      <c r="G238" s="294" t="s">
        <v>705</v>
      </c>
      <c r="H238" s="280"/>
      <c r="I238" s="280"/>
      <c r="J238" s="280"/>
      <c r="K238" s="280"/>
      <c r="L238" s="281"/>
      <c r="M238" s="281"/>
      <c r="N238" s="281"/>
      <c r="O238" s="281"/>
      <c r="P238" s="313"/>
      <c r="Q238" s="313"/>
      <c r="R238" s="313"/>
      <c r="S238" s="313"/>
      <c r="T238" s="313"/>
      <c r="U238" s="313"/>
      <c r="V238" s="313"/>
      <c r="W238" s="313"/>
      <c r="X238" s="313"/>
      <c r="Y238" s="313"/>
      <c r="AN238" s="316">
        <f t="shared" si="54"/>
        <v>0</v>
      </c>
      <c r="AO238" s="323" t="e">
        <f t="shared" si="55"/>
        <v>#DIV/0!</v>
      </c>
    </row>
    <row r="239" spans="1:41" hidden="1" x14ac:dyDescent="0.2">
      <c r="A239" s="260" t="s">
        <v>224</v>
      </c>
      <c r="B239" s="261" t="s">
        <v>66</v>
      </c>
      <c r="C239" s="282">
        <v>1</v>
      </c>
      <c r="D239" s="293"/>
      <c r="E239" s="293"/>
      <c r="F239" s="293"/>
      <c r="G239" s="294" t="s">
        <v>705</v>
      </c>
      <c r="H239" s="280"/>
      <c r="I239" s="280"/>
      <c r="J239" s="280"/>
      <c r="K239" s="280"/>
      <c r="L239" s="281"/>
      <c r="M239" s="281"/>
      <c r="N239" s="281"/>
      <c r="O239" s="281"/>
      <c r="P239" s="313"/>
      <c r="Q239" s="313"/>
      <c r="R239" s="313"/>
      <c r="S239" s="313"/>
      <c r="T239" s="313"/>
      <c r="U239" s="313"/>
      <c r="V239" s="313"/>
      <c r="W239" s="313"/>
      <c r="X239" s="313"/>
      <c r="Y239" s="313"/>
      <c r="AN239" s="316">
        <f t="shared" si="54"/>
        <v>0</v>
      </c>
      <c r="AO239" s="323" t="e">
        <f t="shared" si="55"/>
        <v>#DIV/0!</v>
      </c>
    </row>
    <row r="240" spans="1:41" hidden="1" x14ac:dyDescent="0.2">
      <c r="A240" s="260" t="s">
        <v>67</v>
      </c>
      <c r="B240" s="261"/>
      <c r="C240" s="282">
        <v>1</v>
      </c>
      <c r="D240" s="293"/>
      <c r="E240" s="293"/>
      <c r="F240" s="293"/>
      <c r="G240" s="294" t="s">
        <v>705</v>
      </c>
      <c r="H240" s="280"/>
      <c r="I240" s="280"/>
      <c r="J240" s="280"/>
      <c r="K240" s="280"/>
      <c r="L240" s="281"/>
      <c r="M240" s="281"/>
      <c r="N240" s="281"/>
      <c r="O240" s="281"/>
      <c r="P240" s="313"/>
      <c r="Q240" s="313"/>
      <c r="R240" s="313"/>
      <c r="S240" s="313"/>
      <c r="T240" s="313"/>
      <c r="U240" s="313"/>
      <c r="V240" s="313"/>
      <c r="W240" s="313"/>
      <c r="X240" s="313"/>
      <c r="Y240" s="313"/>
      <c r="AN240" s="316">
        <f t="shared" si="54"/>
        <v>0</v>
      </c>
      <c r="AO240" s="323" t="e">
        <f t="shared" si="55"/>
        <v>#DIV/0!</v>
      </c>
    </row>
    <row r="241" spans="1:41" ht="31.5" hidden="1" x14ac:dyDescent="0.2">
      <c r="A241" s="260" t="s">
        <v>1028</v>
      </c>
      <c r="B241" s="261" t="s">
        <v>66</v>
      </c>
      <c r="C241" s="282">
        <v>1</v>
      </c>
      <c r="D241" s="293"/>
      <c r="E241" s="293"/>
      <c r="F241" s="293"/>
      <c r="G241" s="294" t="s">
        <v>705</v>
      </c>
      <c r="H241" s="280"/>
      <c r="I241" s="280"/>
      <c r="J241" s="280"/>
      <c r="K241" s="280"/>
      <c r="L241" s="281"/>
      <c r="M241" s="281"/>
      <c r="N241" s="281"/>
      <c r="O241" s="281"/>
      <c r="P241" s="313"/>
      <c r="Q241" s="313"/>
      <c r="R241" s="313"/>
      <c r="S241" s="313"/>
      <c r="T241" s="313"/>
      <c r="U241" s="313"/>
      <c r="V241" s="313"/>
      <c r="W241" s="313"/>
      <c r="X241" s="313"/>
      <c r="Y241" s="313"/>
      <c r="AN241" s="316">
        <f t="shared" si="54"/>
        <v>0</v>
      </c>
      <c r="AO241" s="323" t="e">
        <f t="shared" si="55"/>
        <v>#DIV/0!</v>
      </c>
    </row>
    <row r="242" spans="1:41" ht="21" hidden="1" x14ac:dyDescent="0.2">
      <c r="A242" s="260" t="s">
        <v>1034</v>
      </c>
      <c r="B242" s="261" t="s">
        <v>66</v>
      </c>
      <c r="C242" s="282"/>
      <c r="D242" s="293"/>
      <c r="E242" s="293"/>
      <c r="F242" s="293"/>
      <c r="G242" s="294"/>
      <c r="H242" s="280"/>
      <c r="I242" s="280"/>
      <c r="J242" s="280"/>
      <c r="K242" s="280"/>
      <c r="L242" s="281"/>
      <c r="M242" s="281"/>
      <c r="N242" s="281"/>
      <c r="O242" s="281"/>
      <c r="P242" s="313"/>
      <c r="Q242" s="313"/>
      <c r="R242" s="313"/>
      <c r="S242" s="313"/>
      <c r="T242" s="313"/>
      <c r="U242" s="313"/>
      <c r="V242" s="313"/>
      <c r="W242" s="313"/>
      <c r="X242" s="313"/>
      <c r="Y242" s="313"/>
      <c r="AN242" s="316">
        <f t="shared" si="54"/>
        <v>0</v>
      </c>
      <c r="AO242" s="323" t="e">
        <f t="shared" si="55"/>
        <v>#DIV/0!</v>
      </c>
    </row>
    <row r="243" spans="1:41" ht="21" hidden="1" x14ac:dyDescent="0.2">
      <c r="A243" s="260" t="s">
        <v>1030</v>
      </c>
      <c r="B243" s="261" t="s">
        <v>66</v>
      </c>
      <c r="C243" s="282">
        <v>1</v>
      </c>
      <c r="D243" s="293"/>
      <c r="E243" s="293"/>
      <c r="F243" s="293"/>
      <c r="G243" s="294" t="s">
        <v>705</v>
      </c>
      <c r="H243" s="280"/>
      <c r="I243" s="280"/>
      <c r="J243" s="280"/>
      <c r="K243" s="280"/>
      <c r="L243" s="281"/>
      <c r="M243" s="281"/>
      <c r="N243" s="281"/>
      <c r="O243" s="281"/>
      <c r="P243" s="313"/>
      <c r="Q243" s="313"/>
      <c r="R243" s="313"/>
      <c r="S243" s="313"/>
      <c r="T243" s="313"/>
      <c r="U243" s="313"/>
      <c r="V243" s="313"/>
      <c r="W243" s="313"/>
      <c r="X243" s="313"/>
      <c r="Y243" s="313"/>
      <c r="AN243" s="316">
        <f t="shared" si="54"/>
        <v>0</v>
      </c>
      <c r="AO243" s="323" t="e">
        <f t="shared" si="55"/>
        <v>#DIV/0!</v>
      </c>
    </row>
    <row r="244" spans="1:41" ht="21" hidden="1" x14ac:dyDescent="0.2">
      <c r="A244" s="260" t="s">
        <v>1033</v>
      </c>
      <c r="B244" s="261" t="s">
        <v>66</v>
      </c>
      <c r="C244" s="282"/>
      <c r="D244" s="293"/>
      <c r="E244" s="293"/>
      <c r="F244" s="293"/>
      <c r="G244" s="294"/>
      <c r="H244" s="280"/>
      <c r="I244" s="280"/>
      <c r="J244" s="280"/>
      <c r="K244" s="280"/>
      <c r="L244" s="281"/>
      <c r="M244" s="281"/>
      <c r="N244" s="281"/>
      <c r="O244" s="281"/>
      <c r="P244" s="313"/>
      <c r="Q244" s="313"/>
      <c r="R244" s="313"/>
      <c r="S244" s="313"/>
      <c r="T244" s="313"/>
      <c r="U244" s="313"/>
      <c r="V244" s="313"/>
      <c r="W244" s="313"/>
      <c r="X244" s="313"/>
      <c r="Y244" s="313"/>
      <c r="AN244" s="316">
        <f t="shared" si="54"/>
        <v>0</v>
      </c>
      <c r="AO244" s="323" t="e">
        <f t="shared" si="55"/>
        <v>#DIV/0!</v>
      </c>
    </row>
    <row r="245" spans="1:41" hidden="1" x14ac:dyDescent="0.2">
      <c r="A245" s="260" t="s">
        <v>1032</v>
      </c>
      <c r="B245" s="261" t="s">
        <v>66</v>
      </c>
      <c r="C245" s="282">
        <v>1</v>
      </c>
      <c r="D245" s="293"/>
      <c r="E245" s="293"/>
      <c r="F245" s="293"/>
      <c r="G245" s="294" t="s">
        <v>705</v>
      </c>
      <c r="H245" s="280"/>
      <c r="I245" s="280"/>
      <c r="J245" s="280"/>
      <c r="K245" s="280"/>
      <c r="L245" s="281"/>
      <c r="M245" s="281"/>
      <c r="N245" s="281"/>
      <c r="O245" s="281"/>
      <c r="P245" s="313"/>
      <c r="Q245" s="313"/>
      <c r="R245" s="313"/>
      <c r="S245" s="313"/>
      <c r="T245" s="313"/>
      <c r="U245" s="313"/>
      <c r="V245" s="313"/>
      <c r="W245" s="313"/>
      <c r="X245" s="313"/>
      <c r="Y245" s="313"/>
      <c r="AN245" s="316">
        <f t="shared" si="54"/>
        <v>0</v>
      </c>
      <c r="AO245" s="323" t="e">
        <f t="shared" si="55"/>
        <v>#DIV/0!</v>
      </c>
    </row>
    <row r="246" spans="1:41" ht="21" hidden="1" x14ac:dyDescent="0.2">
      <c r="A246" s="260" t="s">
        <v>1031</v>
      </c>
      <c r="B246" s="261" t="s">
        <v>66</v>
      </c>
      <c r="C246" s="282">
        <v>1</v>
      </c>
      <c r="D246" s="293"/>
      <c r="E246" s="293"/>
      <c r="F246" s="293"/>
      <c r="G246" s="294" t="s">
        <v>705</v>
      </c>
      <c r="H246" s="280"/>
      <c r="I246" s="280"/>
      <c r="J246" s="280"/>
      <c r="K246" s="280"/>
      <c r="L246" s="281"/>
      <c r="M246" s="281"/>
      <c r="N246" s="281"/>
      <c r="O246" s="281"/>
      <c r="P246" s="313"/>
      <c r="Q246" s="313"/>
      <c r="R246" s="313"/>
      <c r="S246" s="313"/>
      <c r="T246" s="313"/>
      <c r="U246" s="313"/>
      <c r="V246" s="313"/>
      <c r="W246" s="313"/>
      <c r="X246" s="313"/>
      <c r="Y246" s="313"/>
      <c r="AN246" s="316">
        <f t="shared" si="54"/>
        <v>0</v>
      </c>
      <c r="AO246" s="323" t="e">
        <f t="shared" si="55"/>
        <v>#DIV/0!</v>
      </c>
    </row>
    <row r="247" spans="1:41" hidden="1" x14ac:dyDescent="0.2">
      <c r="A247" s="260" t="s">
        <v>223</v>
      </c>
      <c r="B247" s="261" t="s">
        <v>66</v>
      </c>
      <c r="C247" s="282">
        <v>1</v>
      </c>
      <c r="D247" s="293"/>
      <c r="E247" s="293"/>
      <c r="F247" s="293"/>
      <c r="G247" s="294" t="s">
        <v>705</v>
      </c>
      <c r="H247" s="280"/>
      <c r="I247" s="280"/>
      <c r="J247" s="280"/>
      <c r="K247" s="280"/>
      <c r="L247" s="281"/>
      <c r="M247" s="281"/>
      <c r="N247" s="281"/>
      <c r="O247" s="281"/>
      <c r="P247" s="313"/>
      <c r="Q247" s="313"/>
      <c r="R247" s="313"/>
      <c r="S247" s="313"/>
      <c r="T247" s="313"/>
      <c r="U247" s="313"/>
      <c r="V247" s="313"/>
      <c r="W247" s="313"/>
      <c r="X247" s="313"/>
      <c r="Y247" s="313"/>
      <c r="AN247" s="316">
        <f t="shared" si="54"/>
        <v>0</v>
      </c>
      <c r="AO247" s="323" t="e">
        <f t="shared" si="55"/>
        <v>#DIV/0!</v>
      </c>
    </row>
    <row r="248" spans="1:41" hidden="1" x14ac:dyDescent="0.2">
      <c r="A248" s="260" t="s">
        <v>67</v>
      </c>
      <c r="B248" s="261"/>
      <c r="C248" s="282">
        <v>1</v>
      </c>
      <c r="D248" s="293"/>
      <c r="E248" s="293"/>
      <c r="F248" s="293"/>
      <c r="G248" s="294" t="s">
        <v>705</v>
      </c>
      <c r="H248" s="280"/>
      <c r="I248" s="280"/>
      <c r="J248" s="280"/>
      <c r="K248" s="280"/>
      <c r="L248" s="281"/>
      <c r="M248" s="281"/>
      <c r="N248" s="281"/>
      <c r="O248" s="281"/>
      <c r="P248" s="313"/>
      <c r="Q248" s="313"/>
      <c r="R248" s="313"/>
      <c r="S248" s="313"/>
      <c r="T248" s="313"/>
      <c r="U248" s="313"/>
      <c r="V248" s="313"/>
      <c r="W248" s="313"/>
      <c r="X248" s="313"/>
      <c r="Y248" s="313"/>
      <c r="AN248" s="316">
        <f t="shared" si="54"/>
        <v>0</v>
      </c>
      <c r="AO248" s="323" t="e">
        <f t="shared" si="55"/>
        <v>#DIV/0!</v>
      </c>
    </row>
    <row r="249" spans="1:41" ht="31.5" hidden="1" x14ac:dyDescent="0.2">
      <c r="A249" s="260" t="s">
        <v>1028</v>
      </c>
      <c r="B249" s="261" t="s">
        <v>66</v>
      </c>
      <c r="C249" s="282">
        <v>1</v>
      </c>
      <c r="D249" s="293"/>
      <c r="E249" s="293"/>
      <c r="F249" s="293"/>
      <c r="G249" s="294" t="s">
        <v>705</v>
      </c>
      <c r="H249" s="280"/>
      <c r="I249" s="280"/>
      <c r="J249" s="280"/>
      <c r="K249" s="280"/>
      <c r="L249" s="281"/>
      <c r="M249" s="281"/>
      <c r="N249" s="281"/>
      <c r="O249" s="281"/>
      <c r="P249" s="313"/>
      <c r="Q249" s="313"/>
      <c r="R249" s="313"/>
      <c r="S249" s="313"/>
      <c r="T249" s="313"/>
      <c r="U249" s="313"/>
      <c r="V249" s="313"/>
      <c r="W249" s="313"/>
      <c r="X249" s="313"/>
      <c r="Y249" s="313"/>
      <c r="AN249" s="316">
        <f t="shared" si="54"/>
        <v>0</v>
      </c>
      <c r="AO249" s="323" t="e">
        <f t="shared" si="55"/>
        <v>#DIV/0!</v>
      </c>
    </row>
    <row r="250" spans="1:41" ht="21" hidden="1" x14ac:dyDescent="0.2">
      <c r="A250" s="260" t="s">
        <v>1030</v>
      </c>
      <c r="B250" s="261" t="s">
        <v>66</v>
      </c>
      <c r="C250" s="282">
        <v>1</v>
      </c>
      <c r="D250" s="293"/>
      <c r="E250" s="293"/>
      <c r="F250" s="293"/>
      <c r="G250" s="294" t="s">
        <v>705</v>
      </c>
      <c r="H250" s="280"/>
      <c r="I250" s="280"/>
      <c r="J250" s="280"/>
      <c r="K250" s="280"/>
      <c r="L250" s="281"/>
      <c r="M250" s="281"/>
      <c r="N250" s="281"/>
      <c r="O250" s="281"/>
      <c r="P250" s="313"/>
      <c r="Q250" s="313"/>
      <c r="R250" s="313"/>
      <c r="S250" s="313"/>
      <c r="T250" s="313"/>
      <c r="U250" s="313"/>
      <c r="V250" s="313"/>
      <c r="W250" s="313"/>
      <c r="X250" s="313"/>
      <c r="Y250" s="313"/>
      <c r="AN250" s="316">
        <f t="shared" si="54"/>
        <v>0</v>
      </c>
      <c r="AO250" s="323" t="e">
        <f t="shared" si="55"/>
        <v>#DIV/0!</v>
      </c>
    </row>
    <row r="251" spans="1:41" hidden="1" x14ac:dyDescent="0.2">
      <c r="A251" s="260" t="s">
        <v>1029</v>
      </c>
      <c r="B251" s="261" t="s">
        <v>66</v>
      </c>
      <c r="C251" s="282">
        <v>1</v>
      </c>
      <c r="D251" s="293"/>
      <c r="E251" s="293"/>
      <c r="F251" s="293"/>
      <c r="G251" s="294" t="s">
        <v>705</v>
      </c>
      <c r="H251" s="280"/>
      <c r="I251" s="280"/>
      <c r="J251" s="280"/>
      <c r="K251" s="280"/>
      <c r="L251" s="281"/>
      <c r="M251" s="281"/>
      <c r="N251" s="281"/>
      <c r="O251" s="281"/>
      <c r="P251" s="313"/>
      <c r="Q251" s="313"/>
      <c r="R251" s="313"/>
      <c r="S251" s="313"/>
      <c r="T251" s="313"/>
      <c r="U251" s="313"/>
      <c r="V251" s="313"/>
      <c r="W251" s="313"/>
      <c r="X251" s="313"/>
      <c r="Y251" s="313"/>
      <c r="AN251" s="316">
        <f t="shared" si="54"/>
        <v>0</v>
      </c>
      <c r="AO251" s="323" t="e">
        <f t="shared" si="55"/>
        <v>#DIV/0!</v>
      </c>
    </row>
    <row r="252" spans="1:41" hidden="1" x14ac:dyDescent="0.2">
      <c r="A252" s="260" t="s">
        <v>1032</v>
      </c>
      <c r="B252" s="261" t="s">
        <v>66</v>
      </c>
      <c r="C252" s="282"/>
      <c r="D252" s="293"/>
      <c r="E252" s="293"/>
      <c r="F252" s="293"/>
      <c r="G252" s="294"/>
      <c r="H252" s="280"/>
      <c r="I252" s="280"/>
      <c r="J252" s="280"/>
      <c r="K252" s="280"/>
      <c r="L252" s="281"/>
      <c r="M252" s="281"/>
      <c r="N252" s="281"/>
      <c r="O252" s="281"/>
      <c r="P252" s="313"/>
      <c r="Q252" s="313"/>
      <c r="R252" s="313"/>
      <c r="S252" s="313"/>
      <c r="T252" s="313"/>
      <c r="U252" s="313"/>
      <c r="V252" s="313"/>
      <c r="W252" s="313"/>
      <c r="X252" s="313"/>
      <c r="Y252" s="313"/>
      <c r="AN252" s="316">
        <f t="shared" si="54"/>
        <v>0</v>
      </c>
      <c r="AO252" s="323" t="e">
        <f t="shared" si="55"/>
        <v>#DIV/0!</v>
      </c>
    </row>
    <row r="253" spans="1:41" ht="21" hidden="1" x14ac:dyDescent="0.2">
      <c r="A253" s="260" t="s">
        <v>1031</v>
      </c>
      <c r="B253" s="261" t="s">
        <v>66</v>
      </c>
      <c r="C253" s="282">
        <v>1</v>
      </c>
      <c r="D253" s="293"/>
      <c r="E253" s="293"/>
      <c r="F253" s="293"/>
      <c r="G253" s="294" t="s">
        <v>705</v>
      </c>
      <c r="H253" s="280"/>
      <c r="I253" s="280"/>
      <c r="J253" s="280"/>
      <c r="K253" s="280"/>
      <c r="L253" s="281"/>
      <c r="M253" s="281"/>
      <c r="N253" s="281"/>
      <c r="O253" s="281"/>
      <c r="P253" s="313"/>
      <c r="Q253" s="313"/>
      <c r="R253" s="313"/>
      <c r="S253" s="313"/>
      <c r="T253" s="313"/>
      <c r="U253" s="313"/>
      <c r="V253" s="313"/>
      <c r="W253" s="313"/>
      <c r="X253" s="313"/>
      <c r="Y253" s="313"/>
      <c r="AN253" s="316">
        <f t="shared" si="54"/>
        <v>0</v>
      </c>
      <c r="AO253" s="323" t="e">
        <f t="shared" si="55"/>
        <v>#DIV/0!</v>
      </c>
    </row>
    <row r="254" spans="1:41" hidden="1" x14ac:dyDescent="0.2">
      <c r="A254" s="264" t="s">
        <v>112</v>
      </c>
      <c r="B254" s="261"/>
      <c r="C254" s="282">
        <v>1</v>
      </c>
      <c r="D254" s="293"/>
      <c r="E254" s="293"/>
      <c r="F254" s="293"/>
      <c r="G254" s="294" t="s">
        <v>705</v>
      </c>
      <c r="H254" s="280"/>
      <c r="I254" s="280"/>
      <c r="J254" s="280"/>
      <c r="K254" s="280"/>
      <c r="L254" s="281"/>
      <c r="M254" s="281"/>
      <c r="N254" s="281"/>
      <c r="O254" s="281"/>
      <c r="P254" s="313"/>
      <c r="Q254" s="313"/>
      <c r="R254" s="313"/>
      <c r="S254" s="313"/>
      <c r="T254" s="313"/>
      <c r="U254" s="313"/>
      <c r="V254" s="313"/>
      <c r="W254" s="313"/>
      <c r="X254" s="313"/>
      <c r="Y254" s="313"/>
      <c r="AN254" s="316">
        <f t="shared" si="54"/>
        <v>0</v>
      </c>
      <c r="AO254" s="323" t="e">
        <f t="shared" si="55"/>
        <v>#DIV/0!</v>
      </c>
    </row>
    <row r="255" spans="1:41" hidden="1" x14ac:dyDescent="0.2">
      <c r="A255" s="260" t="s">
        <v>224</v>
      </c>
      <c r="B255" s="261" t="s">
        <v>66</v>
      </c>
      <c r="C255" s="282">
        <v>1</v>
      </c>
      <c r="D255" s="293"/>
      <c r="E255" s="293"/>
      <c r="F255" s="293"/>
      <c r="G255" s="294" t="s">
        <v>705</v>
      </c>
      <c r="H255" s="280"/>
      <c r="I255" s="280"/>
      <c r="J255" s="280"/>
      <c r="K255" s="280"/>
      <c r="L255" s="281"/>
      <c r="M255" s="281"/>
      <c r="N255" s="281"/>
      <c r="O255" s="281"/>
      <c r="P255" s="313"/>
      <c r="Q255" s="313"/>
      <c r="R255" s="313"/>
      <c r="S255" s="313"/>
      <c r="T255" s="313"/>
      <c r="U255" s="313"/>
      <c r="V255" s="313"/>
      <c r="W255" s="313"/>
      <c r="X255" s="313"/>
      <c r="Y255" s="313"/>
      <c r="AN255" s="316">
        <f t="shared" si="54"/>
        <v>0</v>
      </c>
      <c r="AO255" s="323" t="e">
        <f t="shared" si="55"/>
        <v>#DIV/0!</v>
      </c>
    </row>
    <row r="256" spans="1:41" hidden="1" x14ac:dyDescent="0.2">
      <c r="A256" s="260" t="s">
        <v>67</v>
      </c>
      <c r="B256" s="261"/>
      <c r="C256" s="282">
        <v>1</v>
      </c>
      <c r="D256" s="293"/>
      <c r="E256" s="293"/>
      <c r="F256" s="293"/>
      <c r="G256" s="294" t="s">
        <v>705</v>
      </c>
      <c r="H256" s="280"/>
      <c r="I256" s="280"/>
      <c r="J256" s="280"/>
      <c r="K256" s="280"/>
      <c r="L256" s="281"/>
      <c r="M256" s="281"/>
      <c r="N256" s="281"/>
      <c r="O256" s="281"/>
      <c r="P256" s="313"/>
      <c r="Q256" s="313"/>
      <c r="R256" s="313"/>
      <c r="S256" s="313"/>
      <c r="T256" s="313"/>
      <c r="U256" s="313"/>
      <c r="V256" s="313"/>
      <c r="W256" s="313"/>
      <c r="X256" s="313"/>
      <c r="Y256" s="313"/>
      <c r="AN256" s="316">
        <f t="shared" si="54"/>
        <v>0</v>
      </c>
      <c r="AO256" s="323" t="e">
        <f t="shared" si="55"/>
        <v>#DIV/0!</v>
      </c>
    </row>
    <row r="257" spans="1:41" ht="31.5" hidden="1" x14ac:dyDescent="0.2">
      <c r="A257" s="260" t="s">
        <v>1028</v>
      </c>
      <c r="B257" s="261" t="s">
        <v>66</v>
      </c>
      <c r="C257" s="282">
        <v>1</v>
      </c>
      <c r="D257" s="293"/>
      <c r="E257" s="293"/>
      <c r="F257" s="293"/>
      <c r="G257" s="294" t="s">
        <v>705</v>
      </c>
      <c r="H257" s="280"/>
      <c r="I257" s="280"/>
      <c r="J257" s="280"/>
      <c r="K257" s="280"/>
      <c r="L257" s="281"/>
      <c r="M257" s="281"/>
      <c r="N257" s="281"/>
      <c r="O257" s="281"/>
      <c r="P257" s="313"/>
      <c r="Q257" s="313"/>
      <c r="R257" s="313"/>
      <c r="S257" s="313"/>
      <c r="T257" s="313"/>
      <c r="U257" s="313"/>
      <c r="V257" s="313"/>
      <c r="W257" s="313"/>
      <c r="X257" s="313"/>
      <c r="Y257" s="313"/>
      <c r="AN257" s="316">
        <f t="shared" si="54"/>
        <v>0</v>
      </c>
      <c r="AO257" s="323" t="e">
        <f t="shared" si="55"/>
        <v>#DIV/0!</v>
      </c>
    </row>
    <row r="258" spans="1:41" ht="21" hidden="1" x14ac:dyDescent="0.2">
      <c r="A258" s="260" t="s">
        <v>1035</v>
      </c>
      <c r="B258" s="261" t="s">
        <v>66</v>
      </c>
      <c r="C258" s="308"/>
      <c r="D258" s="309"/>
      <c r="E258" s="309"/>
      <c r="F258" s="309"/>
      <c r="G258" s="279"/>
      <c r="H258" s="281"/>
      <c r="I258" s="281"/>
      <c r="J258" s="281"/>
      <c r="K258" s="281"/>
      <c r="L258" s="308"/>
      <c r="M258" s="308"/>
      <c r="N258" s="308"/>
      <c r="O258" s="281"/>
      <c r="P258" s="313"/>
      <c r="Q258" s="313"/>
      <c r="R258" s="313"/>
      <c r="S258" s="313"/>
      <c r="T258" s="313"/>
      <c r="U258" s="313"/>
      <c r="V258" s="313"/>
      <c r="W258" s="313"/>
      <c r="X258" s="313"/>
      <c r="Y258" s="313"/>
      <c r="AN258" s="316">
        <f>Q258-P258</f>
        <v>0</v>
      </c>
      <c r="AO258" s="323" t="e">
        <f>Q258/P258-100%</f>
        <v>#DIV/0!</v>
      </c>
    </row>
    <row r="259" spans="1:41" s="390" customFormat="1" ht="21" hidden="1" x14ac:dyDescent="0.2">
      <c r="A259" s="260" t="s">
        <v>1030</v>
      </c>
      <c r="B259" s="261" t="s">
        <v>66</v>
      </c>
      <c r="C259" s="397"/>
      <c r="D259" s="398"/>
      <c r="E259" s="398"/>
      <c r="F259" s="398"/>
      <c r="G259" s="307"/>
      <c r="H259" s="397"/>
      <c r="I259" s="397"/>
      <c r="J259" s="397"/>
      <c r="K259" s="397"/>
      <c r="L259" s="436"/>
      <c r="M259" s="436"/>
      <c r="N259" s="436"/>
      <c r="O259" s="436"/>
      <c r="P259" s="436"/>
      <c r="Q259" s="436"/>
      <c r="R259" s="436"/>
      <c r="S259" s="436"/>
      <c r="T259" s="436"/>
      <c r="U259" s="436"/>
      <c r="V259" s="436"/>
      <c r="W259" s="436"/>
      <c r="X259" s="436"/>
      <c r="Y259" s="436"/>
      <c r="AA259" s="435"/>
      <c r="AB259" s="435"/>
      <c r="AC259" s="435"/>
      <c r="AD259" s="435"/>
      <c r="AE259" s="435"/>
      <c r="AF259" s="435"/>
      <c r="AG259" s="435"/>
      <c r="AH259" s="435"/>
      <c r="AI259" s="435"/>
      <c r="AJ259" s="435"/>
      <c r="AK259" s="435"/>
      <c r="AL259" s="435"/>
      <c r="AM259" s="435"/>
      <c r="AN259" s="395">
        <f>Q271-P271</f>
        <v>-1.9890827343750175</v>
      </c>
      <c r="AO259" s="396">
        <f>Q271/P271-100%</f>
        <v>-5.0000000000000044E-3</v>
      </c>
    </row>
    <row r="260" spans="1:41" s="343" customFormat="1" ht="21" hidden="1" x14ac:dyDescent="0.2">
      <c r="A260" s="260" t="s">
        <v>1033</v>
      </c>
      <c r="B260" s="261" t="s">
        <v>66</v>
      </c>
      <c r="C260" s="358"/>
      <c r="D260" s="359"/>
      <c r="E260" s="359"/>
      <c r="F260" s="359"/>
      <c r="G260" s="360"/>
      <c r="H260" s="358"/>
      <c r="I260" s="358"/>
      <c r="J260" s="358"/>
      <c r="K260" s="358"/>
      <c r="L260" s="344"/>
      <c r="M260" s="344"/>
      <c r="N260" s="344"/>
      <c r="O260" s="344"/>
      <c r="P260" s="344"/>
      <c r="Q260" s="344"/>
      <c r="R260" s="344"/>
      <c r="S260" s="344"/>
      <c r="T260" s="344"/>
      <c r="U260" s="344"/>
      <c r="V260" s="344"/>
      <c r="W260" s="344"/>
      <c r="X260" s="344"/>
      <c r="Y260" s="344"/>
      <c r="AA260" s="444"/>
      <c r="AB260" s="444"/>
      <c r="AC260" s="444"/>
      <c r="AD260" s="444"/>
      <c r="AE260" s="444"/>
      <c r="AF260" s="444"/>
      <c r="AG260" s="444"/>
      <c r="AH260" s="444"/>
      <c r="AI260" s="444"/>
      <c r="AJ260" s="444"/>
      <c r="AK260" s="444"/>
      <c r="AL260" s="444"/>
      <c r="AM260" s="444"/>
      <c r="AN260" s="362">
        <f t="shared" ref="AN260:AN271" si="56">Q281-P281</f>
        <v>0</v>
      </c>
      <c r="AO260" s="363" t="e">
        <f t="shared" ref="AO260:AO271" si="57">Q281/P281-100%</f>
        <v>#DIV/0!</v>
      </c>
    </row>
    <row r="261" spans="1:41" s="343" customFormat="1" ht="10.5" hidden="1" x14ac:dyDescent="0.2">
      <c r="A261" s="260" t="s">
        <v>1032</v>
      </c>
      <c r="B261" s="261" t="s">
        <v>66</v>
      </c>
      <c r="C261" s="358"/>
      <c r="D261" s="359"/>
      <c r="E261" s="359"/>
      <c r="F261" s="359"/>
      <c r="G261" s="360"/>
      <c r="H261" s="358"/>
      <c r="I261" s="358"/>
      <c r="J261" s="358"/>
      <c r="K261" s="358"/>
      <c r="L261" s="344"/>
      <c r="M261" s="344"/>
      <c r="N261" s="344"/>
      <c r="O261" s="344"/>
      <c r="P261" s="344"/>
      <c r="Q261" s="344"/>
      <c r="R261" s="344"/>
      <c r="S261" s="344"/>
      <c r="T261" s="344"/>
      <c r="U261" s="344"/>
      <c r="V261" s="344"/>
      <c r="W261" s="344"/>
      <c r="X261" s="344"/>
      <c r="Y261" s="344"/>
      <c r="AA261" s="444"/>
      <c r="AB261" s="444"/>
      <c r="AC261" s="444"/>
      <c r="AD261" s="444"/>
      <c r="AE261" s="444"/>
      <c r="AF261" s="444"/>
      <c r="AG261" s="444"/>
      <c r="AH261" s="444"/>
      <c r="AI261" s="444"/>
      <c r="AJ261" s="444"/>
      <c r="AK261" s="444"/>
      <c r="AL261" s="444"/>
      <c r="AM261" s="444"/>
      <c r="AN261" s="362">
        <f t="shared" si="56"/>
        <v>0</v>
      </c>
      <c r="AO261" s="363" t="e">
        <f t="shared" si="57"/>
        <v>#DIV/0!</v>
      </c>
    </row>
    <row r="262" spans="1:41" s="343" customFormat="1" ht="21" hidden="1" x14ac:dyDescent="0.2">
      <c r="A262" s="260" t="s">
        <v>1031</v>
      </c>
      <c r="B262" s="261" t="s">
        <v>66</v>
      </c>
      <c r="C262" s="358"/>
      <c r="D262" s="359"/>
      <c r="E262" s="359"/>
      <c r="F262" s="359"/>
      <c r="G262" s="360"/>
      <c r="H262" s="358"/>
      <c r="I262" s="358"/>
      <c r="J262" s="358"/>
      <c r="K262" s="358"/>
      <c r="L262" s="344"/>
      <c r="M262" s="344"/>
      <c r="N262" s="344"/>
      <c r="O262" s="344"/>
      <c r="P262" s="344"/>
      <c r="Q262" s="344"/>
      <c r="R262" s="344"/>
      <c r="S262" s="344"/>
      <c r="T262" s="344"/>
      <c r="U262" s="344"/>
      <c r="V262" s="344"/>
      <c r="W262" s="344"/>
      <c r="X262" s="344"/>
      <c r="Y262" s="344"/>
      <c r="AA262" s="444"/>
      <c r="AB262" s="444"/>
      <c r="AC262" s="444"/>
      <c r="AD262" s="444"/>
      <c r="AE262" s="444"/>
      <c r="AF262" s="444"/>
      <c r="AG262" s="444"/>
      <c r="AH262" s="444"/>
      <c r="AI262" s="444"/>
      <c r="AJ262" s="444"/>
      <c r="AK262" s="444"/>
      <c r="AL262" s="444"/>
      <c r="AM262" s="444"/>
      <c r="AN262" s="362">
        <f t="shared" si="56"/>
        <v>0</v>
      </c>
      <c r="AO262" s="363" t="e">
        <f t="shared" si="57"/>
        <v>#DIV/0!</v>
      </c>
    </row>
    <row r="263" spans="1:41" s="343" customFormat="1" ht="10.5" hidden="1" x14ac:dyDescent="0.2">
      <c r="A263" s="260" t="s">
        <v>223</v>
      </c>
      <c r="B263" s="261" t="s">
        <v>66</v>
      </c>
      <c r="C263" s="358"/>
      <c r="D263" s="359"/>
      <c r="E263" s="359"/>
      <c r="F263" s="359"/>
      <c r="G263" s="360"/>
      <c r="H263" s="358"/>
      <c r="I263" s="358"/>
      <c r="J263" s="358"/>
      <c r="K263" s="358"/>
      <c r="L263" s="344"/>
      <c r="M263" s="344"/>
      <c r="N263" s="344"/>
      <c r="O263" s="344"/>
      <c r="P263" s="344"/>
      <c r="Q263" s="344"/>
      <c r="R263" s="344"/>
      <c r="S263" s="344"/>
      <c r="T263" s="344"/>
      <c r="U263" s="344"/>
      <c r="V263" s="344"/>
      <c r="W263" s="344"/>
      <c r="X263" s="344"/>
      <c r="Y263" s="344"/>
      <c r="AA263" s="444"/>
      <c r="AB263" s="444"/>
      <c r="AC263" s="444"/>
      <c r="AD263" s="444"/>
      <c r="AE263" s="444"/>
      <c r="AF263" s="444"/>
      <c r="AG263" s="444"/>
      <c r="AH263" s="444"/>
      <c r="AI263" s="444"/>
      <c r="AJ263" s="444"/>
      <c r="AK263" s="444"/>
      <c r="AL263" s="444"/>
      <c r="AM263" s="444"/>
      <c r="AN263" s="362">
        <f t="shared" si="56"/>
        <v>0</v>
      </c>
      <c r="AO263" s="363" t="e">
        <f t="shared" si="57"/>
        <v>#DIV/0!</v>
      </c>
    </row>
    <row r="264" spans="1:41" s="343" customFormat="1" ht="10.5" hidden="1" x14ac:dyDescent="0.2">
      <c r="A264" s="260" t="s">
        <v>67</v>
      </c>
      <c r="B264" s="261"/>
      <c r="C264" s="358"/>
      <c r="D264" s="359"/>
      <c r="E264" s="359"/>
      <c r="F264" s="359"/>
      <c r="G264" s="360"/>
      <c r="H264" s="358"/>
      <c r="I264" s="358"/>
      <c r="J264" s="358"/>
      <c r="K264" s="358"/>
      <c r="L264" s="344"/>
      <c r="M264" s="344"/>
      <c r="N264" s="344"/>
      <c r="O264" s="344"/>
      <c r="P264" s="344"/>
      <c r="Q264" s="344"/>
      <c r="R264" s="344"/>
      <c r="S264" s="344"/>
      <c r="T264" s="344"/>
      <c r="U264" s="344"/>
      <c r="V264" s="344"/>
      <c r="W264" s="344"/>
      <c r="X264" s="344"/>
      <c r="Y264" s="344"/>
      <c r="AA264" s="444"/>
      <c r="AB264" s="444"/>
      <c r="AC264" s="444"/>
      <c r="AD264" s="444"/>
      <c r="AE264" s="444"/>
      <c r="AF264" s="444"/>
      <c r="AG264" s="444"/>
      <c r="AH264" s="444"/>
      <c r="AI264" s="444"/>
      <c r="AJ264" s="444"/>
      <c r="AK264" s="444"/>
      <c r="AL264" s="444"/>
      <c r="AM264" s="444"/>
      <c r="AN264" s="362">
        <f t="shared" si="56"/>
        <v>0</v>
      </c>
      <c r="AO264" s="363" t="e">
        <f t="shared" si="57"/>
        <v>#DIV/0!</v>
      </c>
    </row>
    <row r="265" spans="1:41" s="343" customFormat="1" ht="31.5" hidden="1" x14ac:dyDescent="0.2">
      <c r="A265" s="260" t="s">
        <v>1028</v>
      </c>
      <c r="B265" s="261" t="s">
        <v>66</v>
      </c>
      <c r="C265" s="358"/>
      <c r="D265" s="359"/>
      <c r="E265" s="359"/>
      <c r="F265" s="359"/>
      <c r="G265" s="360"/>
      <c r="H265" s="358"/>
      <c r="I265" s="358"/>
      <c r="J265" s="358"/>
      <c r="K265" s="358"/>
      <c r="L265" s="344"/>
      <c r="M265" s="344"/>
      <c r="N265" s="344"/>
      <c r="O265" s="344"/>
      <c r="P265" s="344"/>
      <c r="Q265" s="344"/>
      <c r="R265" s="344"/>
      <c r="S265" s="344"/>
      <c r="T265" s="344"/>
      <c r="U265" s="344"/>
      <c r="V265" s="344"/>
      <c r="W265" s="344"/>
      <c r="X265" s="344"/>
      <c r="Y265" s="344"/>
      <c r="AA265" s="444"/>
      <c r="AB265" s="444"/>
      <c r="AC265" s="444"/>
      <c r="AD265" s="444"/>
      <c r="AE265" s="444"/>
      <c r="AF265" s="444"/>
      <c r="AG265" s="444"/>
      <c r="AH265" s="444"/>
      <c r="AI265" s="444"/>
      <c r="AJ265" s="444"/>
      <c r="AK265" s="444"/>
      <c r="AL265" s="444"/>
      <c r="AM265" s="444"/>
      <c r="AN265" s="362">
        <f t="shared" si="56"/>
        <v>0</v>
      </c>
      <c r="AO265" s="363" t="e">
        <f t="shared" si="57"/>
        <v>#DIV/0!</v>
      </c>
    </row>
    <row r="266" spans="1:41" s="343" customFormat="1" ht="21" hidden="1" x14ac:dyDescent="0.2">
      <c r="A266" s="260" t="s">
        <v>1030</v>
      </c>
      <c r="B266" s="261" t="s">
        <v>66</v>
      </c>
      <c r="C266" s="358"/>
      <c r="D266" s="359"/>
      <c r="E266" s="359"/>
      <c r="F266" s="359"/>
      <c r="G266" s="360"/>
      <c r="H266" s="358"/>
      <c r="I266" s="358"/>
      <c r="J266" s="358"/>
      <c r="K266" s="358"/>
      <c r="L266" s="344"/>
      <c r="M266" s="344"/>
      <c r="N266" s="344"/>
      <c r="O266" s="344"/>
      <c r="P266" s="344"/>
      <c r="Q266" s="344"/>
      <c r="R266" s="344"/>
      <c r="S266" s="344"/>
      <c r="T266" s="344"/>
      <c r="U266" s="344"/>
      <c r="V266" s="344"/>
      <c r="W266" s="344"/>
      <c r="X266" s="344"/>
      <c r="Y266" s="344"/>
      <c r="AA266" s="444"/>
      <c r="AB266" s="444"/>
      <c r="AC266" s="444"/>
      <c r="AD266" s="444"/>
      <c r="AE266" s="444"/>
      <c r="AF266" s="444"/>
      <c r="AG266" s="444"/>
      <c r="AH266" s="444"/>
      <c r="AI266" s="444"/>
      <c r="AJ266" s="444"/>
      <c r="AK266" s="444"/>
      <c r="AL266" s="444"/>
      <c r="AM266" s="444"/>
      <c r="AN266" s="362">
        <f t="shared" si="56"/>
        <v>0</v>
      </c>
      <c r="AO266" s="363" t="e">
        <f t="shared" si="57"/>
        <v>#DIV/0!</v>
      </c>
    </row>
    <row r="267" spans="1:41" s="343" customFormat="1" ht="21" hidden="1" x14ac:dyDescent="0.2">
      <c r="A267" s="260" t="s">
        <v>1036</v>
      </c>
      <c r="B267" s="261" t="s">
        <v>66</v>
      </c>
      <c r="C267" s="358"/>
      <c r="D267" s="359"/>
      <c r="E267" s="359"/>
      <c r="F267" s="359"/>
      <c r="G267" s="360"/>
      <c r="H267" s="358"/>
      <c r="I267" s="358"/>
      <c r="J267" s="358"/>
      <c r="K267" s="358"/>
      <c r="L267" s="344"/>
      <c r="M267" s="344"/>
      <c r="N267" s="344"/>
      <c r="O267" s="344"/>
      <c r="P267" s="344"/>
      <c r="Q267" s="344"/>
      <c r="R267" s="344"/>
      <c r="S267" s="344"/>
      <c r="T267" s="344"/>
      <c r="U267" s="344"/>
      <c r="V267" s="344"/>
      <c r="W267" s="344"/>
      <c r="X267" s="344"/>
      <c r="Y267" s="344"/>
      <c r="AA267" s="444"/>
      <c r="AB267" s="444"/>
      <c r="AC267" s="444"/>
      <c r="AD267" s="444"/>
      <c r="AE267" s="444"/>
      <c r="AF267" s="444"/>
      <c r="AG267" s="444"/>
      <c r="AH267" s="444"/>
      <c r="AI267" s="444"/>
      <c r="AJ267" s="444"/>
      <c r="AK267" s="444"/>
      <c r="AL267" s="444"/>
      <c r="AM267" s="444"/>
      <c r="AN267" s="362">
        <f t="shared" si="56"/>
        <v>0</v>
      </c>
      <c r="AO267" s="363" t="e">
        <f t="shared" si="57"/>
        <v>#DIV/0!</v>
      </c>
    </row>
    <row r="268" spans="1:41" s="343" customFormat="1" ht="10.5" hidden="1" x14ac:dyDescent="0.2">
      <c r="A268" s="260" t="s">
        <v>1032</v>
      </c>
      <c r="B268" s="261" t="s">
        <v>66</v>
      </c>
      <c r="C268" s="358"/>
      <c r="D268" s="359"/>
      <c r="E268" s="359"/>
      <c r="F268" s="359"/>
      <c r="G268" s="360"/>
      <c r="H268" s="358"/>
      <c r="I268" s="358"/>
      <c r="J268" s="358"/>
      <c r="K268" s="358"/>
      <c r="L268" s="344"/>
      <c r="M268" s="344"/>
      <c r="N268" s="344"/>
      <c r="O268" s="344"/>
      <c r="P268" s="344"/>
      <c r="Q268" s="344"/>
      <c r="R268" s="344"/>
      <c r="S268" s="344"/>
      <c r="T268" s="344"/>
      <c r="U268" s="344"/>
      <c r="V268" s="344"/>
      <c r="W268" s="344"/>
      <c r="X268" s="344"/>
      <c r="Y268" s="344"/>
      <c r="AA268" s="444"/>
      <c r="AB268" s="444"/>
      <c r="AC268" s="444"/>
      <c r="AD268" s="444"/>
      <c r="AE268" s="444"/>
      <c r="AF268" s="444"/>
      <c r="AG268" s="444"/>
      <c r="AH268" s="444"/>
      <c r="AI268" s="444"/>
      <c r="AJ268" s="444"/>
      <c r="AK268" s="444"/>
      <c r="AL268" s="444"/>
      <c r="AM268" s="444"/>
      <c r="AN268" s="362">
        <f t="shared" si="56"/>
        <v>0</v>
      </c>
      <c r="AO268" s="363" t="e">
        <f t="shared" si="57"/>
        <v>#DIV/0!</v>
      </c>
    </row>
    <row r="269" spans="1:41" s="390" customFormat="1" ht="21" hidden="1" x14ac:dyDescent="0.2">
      <c r="A269" s="260" t="s">
        <v>1031</v>
      </c>
      <c r="B269" s="261" t="s">
        <v>66</v>
      </c>
      <c r="C269" s="393">
        <v>1</v>
      </c>
      <c r="D269" s="296"/>
      <c r="E269" s="296"/>
      <c r="F269" s="296"/>
      <c r="G269" s="297" t="s">
        <v>705</v>
      </c>
      <c r="H269" s="394"/>
      <c r="I269" s="394"/>
      <c r="J269" s="394"/>
      <c r="K269" s="394"/>
      <c r="L269" s="436"/>
      <c r="M269" s="436"/>
      <c r="N269" s="436"/>
      <c r="O269" s="436"/>
      <c r="P269" s="436"/>
      <c r="Q269" s="436"/>
      <c r="R269" s="436"/>
      <c r="S269" s="436"/>
      <c r="T269" s="436"/>
      <c r="U269" s="436"/>
      <c r="V269" s="436"/>
      <c r="W269" s="436"/>
      <c r="X269" s="436"/>
      <c r="Y269" s="436"/>
      <c r="AA269" s="435"/>
      <c r="AB269" s="435"/>
      <c r="AC269" s="435"/>
      <c r="AD269" s="435"/>
      <c r="AE269" s="435"/>
      <c r="AF269" s="435"/>
      <c r="AG269" s="435"/>
      <c r="AH269" s="435"/>
      <c r="AI269" s="435"/>
      <c r="AJ269" s="435"/>
      <c r="AK269" s="435"/>
      <c r="AL269" s="435"/>
      <c r="AM269" s="435"/>
      <c r="AN269" s="395">
        <f t="shared" si="56"/>
        <v>-1.9890827343750175</v>
      </c>
      <c r="AO269" s="396">
        <f t="shared" si="57"/>
        <v>-5.0000000000000044E-3</v>
      </c>
    </row>
    <row r="270" spans="1:41" ht="42.75" x14ac:dyDescent="0.2">
      <c r="A270" s="292" t="s">
        <v>1037</v>
      </c>
      <c r="B270" s="261"/>
      <c r="C270" s="370"/>
      <c r="D270" s="371"/>
      <c r="E270" s="371"/>
      <c r="F270" s="371"/>
      <c r="G270" s="371"/>
      <c r="H270" s="372"/>
      <c r="I270" s="372"/>
      <c r="J270" s="372"/>
      <c r="K270" s="372"/>
      <c r="L270" s="289"/>
      <c r="M270" s="289"/>
      <c r="N270" s="289"/>
      <c r="O270" s="289"/>
      <c r="P270" s="289"/>
      <c r="Q270" s="289"/>
      <c r="R270" s="289"/>
      <c r="S270" s="289"/>
      <c r="T270" s="289"/>
      <c r="U270" s="289"/>
      <c r="V270" s="289"/>
      <c r="W270" s="289"/>
      <c r="X270" s="289"/>
      <c r="Y270" s="289"/>
      <c r="AN270" s="316">
        <f t="shared" si="56"/>
        <v>0</v>
      </c>
      <c r="AO270" s="323" t="e">
        <f t="shared" si="57"/>
        <v>#DIV/0!</v>
      </c>
    </row>
    <row r="271" spans="1:41" ht="31.5" x14ac:dyDescent="0.2">
      <c r="A271" s="264" t="s">
        <v>1038</v>
      </c>
      <c r="B271" s="469" t="s">
        <v>472</v>
      </c>
      <c r="C271" s="370"/>
      <c r="D271" s="371"/>
      <c r="E271" s="371"/>
      <c r="F271" s="371"/>
      <c r="G271" s="371"/>
      <c r="H271" s="372"/>
      <c r="I271" s="372"/>
      <c r="J271" s="372"/>
      <c r="K271" s="372"/>
      <c r="L271" s="434">
        <f>384.75+10</f>
        <v>394.75</v>
      </c>
      <c r="M271" s="434">
        <v>405</v>
      </c>
      <c r="N271" s="434">
        <v>444</v>
      </c>
      <c r="O271" s="434">
        <v>399.81562500000001</v>
      </c>
      <c r="P271" s="434">
        <v>397.81654687500003</v>
      </c>
      <c r="Q271" s="434">
        <v>395.82746414062501</v>
      </c>
      <c r="R271" s="434">
        <v>399.65625</v>
      </c>
      <c r="S271" s="434">
        <v>389.421875</v>
      </c>
      <c r="T271" s="434">
        <v>387.47476562499997</v>
      </c>
      <c r="U271" s="434">
        <f>T271*1.01</f>
        <v>391.34951328124998</v>
      </c>
      <c r="V271" s="434">
        <v>385.537391796875</v>
      </c>
      <c r="W271" s="434">
        <f>V271*1.01</f>
        <v>389.39276571484373</v>
      </c>
      <c r="X271" s="434">
        <v>383.6097048378906</v>
      </c>
      <c r="Y271" s="434">
        <f>X271*1.01</f>
        <v>387.44580188626952</v>
      </c>
      <c r="Z271" s="390" t="s">
        <v>244</v>
      </c>
      <c r="AN271" s="316">
        <f t="shared" si="56"/>
        <v>0</v>
      </c>
      <c r="AO271" s="323" t="e">
        <f t="shared" si="57"/>
        <v>#DIV/0!</v>
      </c>
    </row>
    <row r="272" spans="1:41" ht="18" x14ac:dyDescent="0.2">
      <c r="A272" s="357" t="s">
        <v>433</v>
      </c>
      <c r="B272" s="261"/>
      <c r="C272" s="370"/>
      <c r="D272" s="371"/>
      <c r="E272" s="371"/>
      <c r="F272" s="371"/>
      <c r="G272" s="371"/>
      <c r="H272" s="372"/>
      <c r="I272" s="372"/>
      <c r="J272" s="372"/>
      <c r="K272" s="372"/>
      <c r="L272" s="434"/>
      <c r="M272" s="434"/>
      <c r="N272" s="434"/>
      <c r="O272" s="434"/>
      <c r="P272" s="434"/>
      <c r="Q272" s="434"/>
      <c r="R272" s="434"/>
      <c r="S272" s="434"/>
      <c r="T272" s="434"/>
      <c r="U272" s="434"/>
      <c r="V272" s="434"/>
      <c r="W272" s="434"/>
      <c r="X272" s="434"/>
      <c r="Y272" s="434"/>
      <c r="Z272" s="390"/>
      <c r="AN272" s="316"/>
      <c r="AO272" s="323"/>
    </row>
    <row r="273" spans="1:41" x14ac:dyDescent="0.2">
      <c r="A273" s="357" t="s">
        <v>434</v>
      </c>
      <c r="B273" s="261" t="s">
        <v>472</v>
      </c>
      <c r="C273" s="370"/>
      <c r="D273" s="371"/>
      <c r="E273" s="371"/>
      <c r="F273" s="371"/>
      <c r="G273" s="371"/>
      <c r="H273" s="372"/>
      <c r="I273" s="372"/>
      <c r="J273" s="372"/>
      <c r="K273" s="372"/>
      <c r="L273" s="434">
        <v>0</v>
      </c>
      <c r="M273" s="434">
        <f>L273/L$271*M$271</f>
        <v>0</v>
      </c>
      <c r="N273" s="434">
        <f t="shared" ref="N273:Y273" si="58">M273/M$271*N$271</f>
        <v>0</v>
      </c>
      <c r="O273" s="434">
        <f t="shared" si="58"/>
        <v>0</v>
      </c>
      <c r="P273" s="434">
        <f t="shared" si="58"/>
        <v>0</v>
      </c>
      <c r="Q273" s="434">
        <f t="shared" si="58"/>
        <v>0</v>
      </c>
      <c r="R273" s="434">
        <f t="shared" si="58"/>
        <v>0</v>
      </c>
      <c r="S273" s="434">
        <f t="shared" si="58"/>
        <v>0</v>
      </c>
      <c r="T273" s="434">
        <f t="shared" si="58"/>
        <v>0</v>
      </c>
      <c r="U273" s="434">
        <f t="shared" si="58"/>
        <v>0</v>
      </c>
      <c r="V273" s="434">
        <f t="shared" si="58"/>
        <v>0</v>
      </c>
      <c r="W273" s="434">
        <f t="shared" si="58"/>
        <v>0</v>
      </c>
      <c r="X273" s="434">
        <f t="shared" si="58"/>
        <v>0</v>
      </c>
      <c r="Y273" s="434">
        <f t="shared" si="58"/>
        <v>0</v>
      </c>
      <c r="Z273" s="390"/>
      <c r="AN273" s="316"/>
      <c r="AO273" s="323"/>
    </row>
    <row r="274" spans="1:41" ht="14.25" customHeight="1" x14ac:dyDescent="0.2">
      <c r="A274" s="357" t="s">
        <v>421</v>
      </c>
      <c r="B274" s="261" t="s">
        <v>472</v>
      </c>
      <c r="C274" s="370"/>
      <c r="D274" s="371"/>
      <c r="E274" s="371"/>
      <c r="F274" s="371"/>
      <c r="G274" s="371"/>
      <c r="H274" s="372"/>
      <c r="I274" s="372"/>
      <c r="J274" s="372"/>
      <c r="K274" s="372"/>
      <c r="L274" s="434">
        <v>59.976027397260268</v>
      </c>
      <c r="M274" s="434">
        <f t="shared" ref="M274:Y280" si="59">L274/L$271*M$271</f>
        <v>61.53335299782244</v>
      </c>
      <c r="N274" s="434">
        <f t="shared" si="59"/>
        <v>67.45878699020534</v>
      </c>
      <c r="O274" s="434">
        <f t="shared" si="59"/>
        <v>60.745669104123465</v>
      </c>
      <c r="P274" s="434">
        <f t="shared" si="59"/>
        <v>60.441940758602854</v>
      </c>
      <c r="Q274" s="434">
        <f t="shared" si="59"/>
        <v>60.139731054809836</v>
      </c>
      <c r="R274" s="434">
        <f t="shared" si="59"/>
        <v>60.721454590212282</v>
      </c>
      <c r="S274" s="434">
        <f t="shared" si="59"/>
        <v>59.166502961602191</v>
      </c>
      <c r="T274" s="434">
        <f t="shared" si="59"/>
        <v>58.870670446794172</v>
      </c>
      <c r="U274" s="434">
        <f t="shared" si="59"/>
        <v>59.459377151262117</v>
      </c>
      <c r="V274" s="434">
        <f t="shared" si="59"/>
        <v>58.576317094560203</v>
      </c>
      <c r="W274" s="434">
        <f t="shared" si="59"/>
        <v>59.162080265505807</v>
      </c>
      <c r="X274" s="434">
        <f t="shared" si="59"/>
        <v>58.283435509087404</v>
      </c>
      <c r="Y274" s="434">
        <f t="shared" si="59"/>
        <v>58.866269864178278</v>
      </c>
      <c r="Z274" s="390"/>
      <c r="AN274" s="316"/>
      <c r="AO274" s="323"/>
    </row>
    <row r="275" spans="1:41" ht="18" x14ac:dyDescent="0.2">
      <c r="A275" s="357" t="s">
        <v>435</v>
      </c>
      <c r="B275" s="261" t="s">
        <v>472</v>
      </c>
      <c r="C275" s="370"/>
      <c r="D275" s="371"/>
      <c r="E275" s="371"/>
      <c r="F275" s="371"/>
      <c r="G275" s="371"/>
      <c r="H275" s="372"/>
      <c r="I275" s="372"/>
      <c r="J275" s="372"/>
      <c r="K275" s="372"/>
      <c r="L275" s="434">
        <v>7.5293542074363984</v>
      </c>
      <c r="M275" s="434">
        <f t="shared" si="59"/>
        <v>7.7248599214990277</v>
      </c>
      <c r="N275" s="434">
        <f t="shared" si="59"/>
        <v>8.4687353213470828</v>
      </c>
      <c r="O275" s="434">
        <f t="shared" si="59"/>
        <v>7.6259745618557648</v>
      </c>
      <c r="P275" s="434">
        <f t="shared" si="59"/>
        <v>7.587844689046487</v>
      </c>
      <c r="Q275" s="434">
        <f t="shared" si="59"/>
        <v>7.5499054656012543</v>
      </c>
      <c r="R275" s="434">
        <f t="shared" si="59"/>
        <v>7.6229346864236938</v>
      </c>
      <c r="S275" s="434">
        <f t="shared" si="59"/>
        <v>7.4277269993642081</v>
      </c>
      <c r="T275" s="434">
        <f t="shared" si="59"/>
        <v>7.3905883643673862</v>
      </c>
      <c r="U275" s="434">
        <f t="shared" si="59"/>
        <v>7.4644942480110608</v>
      </c>
      <c r="V275" s="434">
        <f t="shared" si="59"/>
        <v>7.3536354225455502</v>
      </c>
      <c r="W275" s="434">
        <f t="shared" si="59"/>
        <v>7.4271717767710053</v>
      </c>
      <c r="X275" s="434">
        <f t="shared" si="59"/>
        <v>7.3168672454328219</v>
      </c>
      <c r="Y275" s="434">
        <f t="shared" si="59"/>
        <v>7.3900359178871504</v>
      </c>
      <c r="Z275" s="390"/>
      <c r="AN275" s="316"/>
      <c r="AO275" s="323"/>
    </row>
    <row r="276" spans="1:41" x14ac:dyDescent="0.2">
      <c r="A276" s="357" t="s">
        <v>468</v>
      </c>
      <c r="B276" s="261" t="s">
        <v>472</v>
      </c>
      <c r="C276" s="370"/>
      <c r="D276" s="371"/>
      <c r="E276" s="371"/>
      <c r="F276" s="371"/>
      <c r="G276" s="371"/>
      <c r="H276" s="372"/>
      <c r="I276" s="372"/>
      <c r="J276" s="372"/>
      <c r="K276" s="372"/>
      <c r="L276" s="434">
        <v>89.328767123287662</v>
      </c>
      <c r="M276" s="434">
        <f t="shared" si="59"/>
        <v>91.648260126488921</v>
      </c>
      <c r="N276" s="434">
        <f t="shared" si="59"/>
        <v>100.47364813866933</v>
      </c>
      <c r="O276" s="434">
        <f t="shared" si="59"/>
        <v>90.475077537369742</v>
      </c>
      <c r="P276" s="434">
        <f t="shared" si="59"/>
        <v>90.0227021496829</v>
      </c>
      <c r="Q276" s="434">
        <f t="shared" si="59"/>
        <v>89.572588638934477</v>
      </c>
      <c r="R276" s="434">
        <f t="shared" si="59"/>
        <v>90.439012249819967</v>
      </c>
      <c r="S276" s="434">
        <f t="shared" si="59"/>
        <v>88.123055059123573</v>
      </c>
      <c r="T276" s="434">
        <f t="shared" si="59"/>
        <v>87.682439783827945</v>
      </c>
      <c r="U276" s="434">
        <f t="shared" si="59"/>
        <v>88.559264181666222</v>
      </c>
      <c r="V276" s="434">
        <f t="shared" si="59"/>
        <v>87.244027584908807</v>
      </c>
      <c r="W276" s="434">
        <f t="shared" si="59"/>
        <v>88.116467860757894</v>
      </c>
      <c r="X276" s="434">
        <f t="shared" si="59"/>
        <v>86.807807446984256</v>
      </c>
      <c r="Y276" s="434">
        <f t="shared" si="59"/>
        <v>87.675885521454092</v>
      </c>
      <c r="Z276" s="390"/>
      <c r="AN276" s="316"/>
      <c r="AO276" s="323"/>
    </row>
    <row r="277" spans="1:41" ht="27" x14ac:dyDescent="0.2">
      <c r="A277" s="357" t="s">
        <v>422</v>
      </c>
      <c r="B277" s="261" t="s">
        <v>472</v>
      </c>
      <c r="C277" s="370"/>
      <c r="D277" s="371"/>
      <c r="E277" s="371"/>
      <c r="F277" s="371"/>
      <c r="G277" s="371"/>
      <c r="H277" s="372"/>
      <c r="I277" s="372"/>
      <c r="J277" s="372"/>
      <c r="K277" s="372"/>
      <c r="L277" s="434">
        <v>96.622798434442259</v>
      </c>
      <c r="M277" s="434">
        <f t="shared" si="59"/>
        <v>99.131686804177619</v>
      </c>
      <c r="N277" s="434">
        <f t="shared" si="59"/>
        <v>108.67770108902435</v>
      </c>
      <c r="O277" s="434">
        <f t="shared" si="59"/>
        <v>97.86270942448526</v>
      </c>
      <c r="P277" s="434">
        <f t="shared" si="59"/>
        <v>97.373395877362839</v>
      </c>
      <c r="Q277" s="434">
        <f t="shared" si="59"/>
        <v>96.886528897976021</v>
      </c>
      <c r="R277" s="434">
        <f t="shared" si="59"/>
        <v>97.823699269955839</v>
      </c>
      <c r="S277" s="434">
        <f t="shared" si="59"/>
        <v>95.318635425174335</v>
      </c>
      <c r="T277" s="434">
        <f t="shared" si="59"/>
        <v>94.842042248048458</v>
      </c>
      <c r="U277" s="434">
        <f t="shared" si="59"/>
        <v>95.790462670528953</v>
      </c>
      <c r="V277" s="434">
        <f t="shared" si="59"/>
        <v>94.367832036808224</v>
      </c>
      <c r="W277" s="434">
        <f t="shared" si="59"/>
        <v>95.311510357176303</v>
      </c>
      <c r="X277" s="434">
        <f t="shared" si="59"/>
        <v>93.895992876624177</v>
      </c>
      <c r="Y277" s="434">
        <f t="shared" si="59"/>
        <v>94.834952805390429</v>
      </c>
      <c r="Z277" s="390"/>
      <c r="AN277" s="316"/>
      <c r="AO277" s="323"/>
    </row>
    <row r="278" spans="1:41" x14ac:dyDescent="0.2">
      <c r="A278" s="357" t="s">
        <v>423</v>
      </c>
      <c r="B278" s="261" t="s">
        <v>472</v>
      </c>
      <c r="C278" s="370"/>
      <c r="D278" s="371"/>
      <c r="E278" s="371"/>
      <c r="F278" s="371"/>
      <c r="G278" s="371"/>
      <c r="H278" s="372"/>
      <c r="I278" s="372"/>
      <c r="J278" s="372"/>
      <c r="K278" s="372"/>
      <c r="L278" s="434">
        <v>44.917318982387471</v>
      </c>
      <c r="M278" s="434">
        <f t="shared" si="59"/>
        <v>46.083633154824383</v>
      </c>
      <c r="N278" s="434">
        <f t="shared" si="59"/>
        <v>50.521316347511181</v>
      </c>
      <c r="O278" s="434">
        <f t="shared" si="59"/>
        <v>45.493719980411939</v>
      </c>
      <c r="P278" s="434">
        <f t="shared" si="59"/>
        <v>45.266251380509885</v>
      </c>
      <c r="Q278" s="434">
        <f t="shared" si="59"/>
        <v>45.039920123607331</v>
      </c>
      <c r="R278" s="434">
        <f t="shared" si="59"/>
        <v>45.475585217364902</v>
      </c>
      <c r="S278" s="434">
        <f t="shared" si="59"/>
        <v>44.311048962873777</v>
      </c>
      <c r="T278" s="434">
        <f t="shared" si="59"/>
        <v>44.089493718059408</v>
      </c>
      <c r="U278" s="434">
        <f t="shared" si="59"/>
        <v>44.530388655240003</v>
      </c>
      <c r="V278" s="434">
        <f t="shared" si="59"/>
        <v>43.869046249469115</v>
      </c>
      <c r="W278" s="434">
        <f t="shared" si="59"/>
        <v>44.307736711963805</v>
      </c>
      <c r="X278" s="434">
        <f t="shared" si="59"/>
        <v>43.649701018221769</v>
      </c>
      <c r="Y278" s="434">
        <f t="shared" si="59"/>
        <v>44.086198028403984</v>
      </c>
      <c r="Z278" s="390"/>
      <c r="AN278" s="316"/>
      <c r="AO278" s="323"/>
    </row>
    <row r="279" spans="1:41" ht="18" x14ac:dyDescent="0.2">
      <c r="A279" s="357" t="s">
        <v>431</v>
      </c>
      <c r="B279" s="261" t="s">
        <v>472</v>
      </c>
      <c r="C279" s="370"/>
      <c r="D279" s="371"/>
      <c r="E279" s="371"/>
      <c r="F279" s="371"/>
      <c r="G279" s="371"/>
      <c r="H279" s="372"/>
      <c r="I279" s="372"/>
      <c r="J279" s="372"/>
      <c r="K279" s="372"/>
      <c r="L279" s="434">
        <v>96.375733855185899</v>
      </c>
      <c r="M279" s="434">
        <f t="shared" si="59"/>
        <v>98.878206995187554</v>
      </c>
      <c r="N279" s="434">
        <f t="shared" si="59"/>
        <v>108.39981211324266</v>
      </c>
      <c r="O279" s="434">
        <f t="shared" si="59"/>
        <v>97.612474391753793</v>
      </c>
      <c r="P279" s="434">
        <f t="shared" si="59"/>
        <v>97.124412019795031</v>
      </c>
      <c r="Q279" s="434">
        <f t="shared" si="59"/>
        <v>96.638789959696055</v>
      </c>
      <c r="R279" s="434">
        <f t="shared" si="59"/>
        <v>97.573563986223277</v>
      </c>
      <c r="S279" s="434">
        <f t="shared" si="59"/>
        <v>95.074905591861864</v>
      </c>
      <c r="T279" s="434">
        <f t="shared" si="59"/>
        <v>94.599531063902546</v>
      </c>
      <c r="U279" s="434">
        <f t="shared" si="59"/>
        <v>95.545526374541581</v>
      </c>
      <c r="V279" s="434">
        <f t="shared" si="59"/>
        <v>94.126533408583043</v>
      </c>
      <c r="W279" s="434">
        <f t="shared" si="59"/>
        <v>95.06779874266887</v>
      </c>
      <c r="X279" s="434">
        <f t="shared" si="59"/>
        <v>93.655900741540123</v>
      </c>
      <c r="Y279" s="434">
        <f t="shared" si="59"/>
        <v>94.59245974895552</v>
      </c>
      <c r="Z279" s="390"/>
      <c r="AN279" s="316"/>
      <c r="AO279" s="323"/>
    </row>
    <row r="280" spans="1:41" x14ac:dyDescent="0.2">
      <c r="A280" s="357" t="s">
        <v>246</v>
      </c>
      <c r="B280" s="261" t="s">
        <v>472</v>
      </c>
      <c r="C280" s="370"/>
      <c r="D280" s="371"/>
      <c r="E280" s="371"/>
      <c r="F280" s="371"/>
      <c r="G280" s="371"/>
      <c r="H280" s="372"/>
      <c r="I280" s="372"/>
      <c r="J280" s="372"/>
      <c r="K280" s="372"/>
      <c r="L280" s="434">
        <v>0</v>
      </c>
      <c r="M280" s="434">
        <f t="shared" si="59"/>
        <v>0</v>
      </c>
      <c r="N280" s="434">
        <f t="shared" si="59"/>
        <v>0</v>
      </c>
      <c r="O280" s="434">
        <f t="shared" si="59"/>
        <v>0</v>
      </c>
      <c r="P280" s="434">
        <f t="shared" si="59"/>
        <v>0</v>
      </c>
      <c r="Q280" s="434">
        <f t="shared" si="59"/>
        <v>0</v>
      </c>
      <c r="R280" s="434">
        <f t="shared" si="59"/>
        <v>0</v>
      </c>
      <c r="S280" s="434">
        <f t="shared" si="59"/>
        <v>0</v>
      </c>
      <c r="T280" s="434">
        <f t="shared" si="59"/>
        <v>0</v>
      </c>
      <c r="U280" s="434">
        <f t="shared" si="59"/>
        <v>0</v>
      </c>
      <c r="V280" s="434">
        <f t="shared" si="59"/>
        <v>0</v>
      </c>
      <c r="W280" s="434">
        <f t="shared" si="59"/>
        <v>0</v>
      </c>
      <c r="X280" s="434">
        <f t="shared" si="59"/>
        <v>0</v>
      </c>
      <c r="Y280" s="434">
        <f t="shared" si="59"/>
        <v>0</v>
      </c>
      <c r="Z280" s="390"/>
      <c r="AN280" s="316"/>
      <c r="AO280" s="323"/>
    </row>
    <row r="281" spans="1:41" ht="18" hidden="1" x14ac:dyDescent="0.2">
      <c r="A281" s="357" t="s">
        <v>433</v>
      </c>
      <c r="B281" s="261"/>
      <c r="C281" s="370"/>
      <c r="D281" s="371"/>
      <c r="E281" s="371"/>
      <c r="F281" s="371"/>
      <c r="G281" s="371"/>
      <c r="H281" s="372"/>
      <c r="I281" s="372"/>
      <c r="J281" s="372"/>
      <c r="K281" s="372"/>
      <c r="L281" s="519"/>
      <c r="M281" s="520"/>
      <c r="N281" s="520"/>
      <c r="O281" s="520"/>
      <c r="P281" s="361"/>
      <c r="Q281" s="361"/>
      <c r="R281" s="361"/>
      <c r="S281" s="361"/>
      <c r="T281" s="361"/>
      <c r="U281" s="361"/>
      <c r="V281" s="361"/>
      <c r="W281" s="361"/>
      <c r="X281" s="361"/>
      <c r="Y281" s="361"/>
      <c r="Z281" s="444"/>
      <c r="AN281" s="316">
        <f t="shared" ref="AN281:AN288" si="60">Q293-P293</f>
        <v>-0.29972479559075538</v>
      </c>
      <c r="AO281" s="323">
        <f t="shared" ref="AO281:AO288" si="61">Q293/P293-100%</f>
        <v>-5.0000000000000044E-3</v>
      </c>
    </row>
    <row r="282" spans="1:41" hidden="1" x14ac:dyDescent="0.2">
      <c r="A282" s="357" t="s">
        <v>434</v>
      </c>
      <c r="B282" s="261" t="s">
        <v>472</v>
      </c>
      <c r="C282" s="370">
        <v>1</v>
      </c>
      <c r="D282" s="371"/>
      <c r="E282" s="371"/>
      <c r="F282" s="371"/>
      <c r="G282" s="371" t="s">
        <v>705</v>
      </c>
      <c r="H282" s="372"/>
      <c r="I282" s="372"/>
      <c r="J282" s="372"/>
      <c r="K282" s="372"/>
      <c r="L282" s="519"/>
      <c r="M282" s="521"/>
      <c r="N282" s="521"/>
      <c r="O282" s="521"/>
      <c r="P282" s="521"/>
      <c r="Q282" s="521"/>
      <c r="R282" s="521"/>
      <c r="S282" s="521"/>
      <c r="T282" s="521"/>
      <c r="U282" s="521"/>
      <c r="V282" s="521"/>
      <c r="W282" s="521"/>
      <c r="X282" s="521"/>
      <c r="Y282" s="521"/>
      <c r="Z282" s="444"/>
      <c r="AN282" s="316">
        <f t="shared" si="60"/>
        <v>-3.8925298128670072E-2</v>
      </c>
      <c r="AO282" s="323">
        <f t="shared" si="61"/>
        <v>-5.0000000000001155E-3</v>
      </c>
    </row>
    <row r="283" spans="1:41" hidden="1" x14ac:dyDescent="0.2">
      <c r="A283" s="357" t="s">
        <v>421</v>
      </c>
      <c r="B283" s="261" t="s">
        <v>472</v>
      </c>
      <c r="C283" s="370">
        <v>1</v>
      </c>
      <c r="D283" s="371"/>
      <c r="E283" s="371"/>
      <c r="F283" s="371"/>
      <c r="G283" s="371" t="s">
        <v>705</v>
      </c>
      <c r="H283" s="372"/>
      <c r="I283" s="372"/>
      <c r="J283" s="372"/>
      <c r="K283" s="372"/>
      <c r="L283" s="522"/>
      <c r="M283" s="521"/>
      <c r="N283" s="521"/>
      <c r="O283" s="521"/>
      <c r="P283" s="521"/>
      <c r="Q283" s="521"/>
      <c r="R283" s="521"/>
      <c r="S283" s="521"/>
      <c r="T283" s="521"/>
      <c r="U283" s="521"/>
      <c r="V283" s="521"/>
      <c r="W283" s="521"/>
      <c r="X283" s="521"/>
      <c r="Y283" s="521"/>
      <c r="Z283" s="444"/>
      <c r="AN283" s="316">
        <f t="shared" si="60"/>
        <v>-0.43596333904110907</v>
      </c>
      <c r="AO283" s="323">
        <f t="shared" si="61"/>
        <v>-5.0000000000001155E-3</v>
      </c>
    </row>
    <row r="284" spans="1:41" ht="18" hidden="1" x14ac:dyDescent="0.2">
      <c r="A284" s="357" t="s">
        <v>435</v>
      </c>
      <c r="B284" s="261" t="s">
        <v>472</v>
      </c>
      <c r="C284" s="370"/>
      <c r="D284" s="371"/>
      <c r="E284" s="371"/>
      <c r="F284" s="371"/>
      <c r="G284" s="371"/>
      <c r="H284" s="372"/>
      <c r="I284" s="372"/>
      <c r="J284" s="372"/>
      <c r="K284" s="372"/>
      <c r="L284" s="522"/>
      <c r="M284" s="521"/>
      <c r="N284" s="521"/>
      <c r="O284" s="521"/>
      <c r="P284" s="521"/>
      <c r="Q284" s="521"/>
      <c r="R284" s="521"/>
      <c r="S284" s="521"/>
      <c r="T284" s="521"/>
      <c r="U284" s="521"/>
      <c r="V284" s="521"/>
      <c r="W284" s="521"/>
      <c r="X284" s="521"/>
      <c r="Y284" s="521"/>
      <c r="Z284" s="444"/>
      <c r="AN284" s="316">
        <f t="shared" si="60"/>
        <v>-0.49435128623410662</v>
      </c>
      <c r="AO284" s="323">
        <f t="shared" si="61"/>
        <v>-5.0000000000001155E-3</v>
      </c>
    </row>
    <row r="285" spans="1:41" hidden="1" x14ac:dyDescent="0.2">
      <c r="A285" s="357" t="s">
        <v>468</v>
      </c>
      <c r="B285" s="261" t="s">
        <v>472</v>
      </c>
      <c r="C285" s="370">
        <v>1</v>
      </c>
      <c r="D285" s="371"/>
      <c r="E285" s="371"/>
      <c r="F285" s="371"/>
      <c r="G285" s="371" t="s">
        <v>705</v>
      </c>
      <c r="H285" s="372"/>
      <c r="I285" s="372"/>
      <c r="J285" s="372"/>
      <c r="K285" s="372"/>
      <c r="L285" s="522"/>
      <c r="M285" s="521"/>
      <c r="N285" s="521"/>
      <c r="O285" s="521"/>
      <c r="P285" s="521"/>
      <c r="Q285" s="521"/>
      <c r="R285" s="521"/>
      <c r="S285" s="521"/>
      <c r="T285" s="521"/>
      <c r="U285" s="521"/>
      <c r="V285" s="521"/>
      <c r="W285" s="521"/>
      <c r="X285" s="521"/>
      <c r="Y285" s="521"/>
      <c r="Z285" s="444"/>
      <c r="AN285" s="316">
        <f t="shared" si="60"/>
        <v>-0.22187419933342056</v>
      </c>
      <c r="AO285" s="323">
        <f t="shared" si="61"/>
        <v>-5.0000000000001155E-3</v>
      </c>
    </row>
    <row r="286" spans="1:41" ht="27" hidden="1" x14ac:dyDescent="0.2">
      <c r="A286" s="357" t="s">
        <v>422</v>
      </c>
      <c r="B286" s="261" t="s">
        <v>472</v>
      </c>
      <c r="C286" s="370">
        <v>1</v>
      </c>
      <c r="D286" s="371"/>
      <c r="E286" s="371"/>
      <c r="F286" s="371"/>
      <c r="G286" s="371" t="s">
        <v>705</v>
      </c>
      <c r="H286" s="372"/>
      <c r="I286" s="372"/>
      <c r="J286" s="372"/>
      <c r="K286" s="372"/>
      <c r="L286" s="522"/>
      <c r="M286" s="521"/>
      <c r="N286" s="521"/>
      <c r="O286" s="521"/>
      <c r="P286" s="521"/>
      <c r="Q286" s="521"/>
      <c r="R286" s="521"/>
      <c r="S286" s="521"/>
      <c r="T286" s="521"/>
      <c r="U286" s="521"/>
      <c r="V286" s="521"/>
      <c r="W286" s="521"/>
      <c r="X286" s="521"/>
      <c r="Y286" s="521"/>
      <c r="Z286" s="444"/>
      <c r="AN286" s="316">
        <f t="shared" si="60"/>
        <v>-0.49824381604697976</v>
      </c>
      <c r="AO286" s="323">
        <f t="shared" si="61"/>
        <v>-5.0000000000001155E-3</v>
      </c>
    </row>
    <row r="287" spans="1:41" hidden="1" x14ac:dyDescent="0.2">
      <c r="A287" s="357" t="s">
        <v>423</v>
      </c>
      <c r="B287" s="261" t="s">
        <v>472</v>
      </c>
      <c r="C287" s="370">
        <v>1</v>
      </c>
      <c r="D287" s="371"/>
      <c r="E287" s="371"/>
      <c r="F287" s="371"/>
      <c r="G287" s="371" t="s">
        <v>705</v>
      </c>
      <c r="H287" s="372"/>
      <c r="I287" s="372"/>
      <c r="J287" s="372"/>
      <c r="K287" s="372"/>
      <c r="L287" s="522"/>
      <c r="M287" s="521"/>
      <c r="N287" s="521"/>
      <c r="O287" s="521"/>
      <c r="P287" s="521"/>
      <c r="Q287" s="521"/>
      <c r="R287" s="521"/>
      <c r="S287" s="521"/>
      <c r="T287" s="521"/>
      <c r="U287" s="521"/>
      <c r="V287" s="521"/>
      <c r="W287" s="521"/>
      <c r="X287" s="521"/>
      <c r="Y287" s="521"/>
      <c r="Z287" s="444"/>
      <c r="AN287" s="316">
        <f t="shared" si="60"/>
        <v>0</v>
      </c>
      <c r="AO287" s="323" t="e">
        <f t="shared" si="61"/>
        <v>#DIV/0!</v>
      </c>
    </row>
    <row r="288" spans="1:41" s="390" customFormat="1" ht="18" hidden="1" x14ac:dyDescent="0.2">
      <c r="A288" s="357" t="s">
        <v>431</v>
      </c>
      <c r="B288" s="261" t="s">
        <v>472</v>
      </c>
      <c r="C288" s="393"/>
      <c r="D288" s="296"/>
      <c r="E288" s="296"/>
      <c r="F288" s="296"/>
      <c r="G288" s="297"/>
      <c r="H288" s="394"/>
      <c r="I288" s="394"/>
      <c r="J288" s="394"/>
      <c r="K288" s="394"/>
      <c r="L288" s="522"/>
      <c r="M288" s="521"/>
      <c r="N288" s="521"/>
      <c r="O288" s="521"/>
      <c r="P288" s="521"/>
      <c r="Q288" s="521"/>
      <c r="R288" s="521"/>
      <c r="S288" s="521"/>
      <c r="T288" s="521"/>
      <c r="U288" s="521"/>
      <c r="V288" s="521"/>
      <c r="W288" s="521"/>
      <c r="X288" s="521"/>
      <c r="Y288" s="521"/>
      <c r="Z288" s="444"/>
      <c r="AA288" s="435"/>
      <c r="AB288" s="435"/>
      <c r="AC288" s="435"/>
      <c r="AD288" s="435"/>
      <c r="AE288" s="435"/>
      <c r="AF288" s="435"/>
      <c r="AG288" s="435"/>
      <c r="AH288" s="435"/>
      <c r="AI288" s="435"/>
      <c r="AJ288" s="435"/>
      <c r="AK288" s="435"/>
      <c r="AL288" s="435"/>
      <c r="AM288" s="435"/>
      <c r="AN288" s="395">
        <f t="shared" si="60"/>
        <v>-0.17399999999999949</v>
      </c>
      <c r="AO288" s="396">
        <f t="shared" si="61"/>
        <v>-4.2973573721906577E-2</v>
      </c>
    </row>
    <row r="289" spans="1:41" s="378" customFormat="1" ht="9.75" hidden="1" x14ac:dyDescent="0.2">
      <c r="A289" s="357" t="s">
        <v>246</v>
      </c>
      <c r="B289" s="261" t="s">
        <v>472</v>
      </c>
      <c r="C289" s="375"/>
      <c r="D289" s="376"/>
      <c r="E289" s="376"/>
      <c r="F289" s="376"/>
      <c r="G289" s="376"/>
      <c r="H289" s="377"/>
      <c r="I289" s="377"/>
      <c r="J289" s="377"/>
      <c r="K289" s="377"/>
      <c r="L289" s="519"/>
      <c r="M289" s="521"/>
      <c r="N289" s="521"/>
      <c r="O289" s="521"/>
      <c r="P289" s="521"/>
      <c r="Q289" s="521"/>
      <c r="R289" s="521"/>
      <c r="S289" s="521"/>
      <c r="T289" s="521"/>
      <c r="U289" s="521"/>
      <c r="V289" s="521"/>
      <c r="W289" s="521"/>
      <c r="X289" s="521"/>
      <c r="Y289" s="521"/>
      <c r="Z289" s="444"/>
      <c r="AA289" s="523"/>
      <c r="AB289" s="523"/>
      <c r="AC289" s="523"/>
      <c r="AD289" s="523"/>
      <c r="AE289" s="523"/>
      <c r="AF289" s="523"/>
      <c r="AG289" s="523"/>
      <c r="AH289" s="523"/>
      <c r="AI289" s="523"/>
      <c r="AJ289" s="523"/>
      <c r="AK289" s="523"/>
      <c r="AL289" s="523"/>
      <c r="AM289" s="523"/>
      <c r="AN289" s="378" t="e">
        <f>#REF!-#REF!</f>
        <v>#REF!</v>
      </c>
      <c r="AO289" s="378" t="e">
        <f>#REF!/#REF!-100%</f>
        <v>#REF!</v>
      </c>
    </row>
    <row r="290" spans="1:41" s="378" customFormat="1" ht="21" x14ac:dyDescent="0.2">
      <c r="A290" s="264" t="s">
        <v>274</v>
      </c>
      <c r="B290" s="469" t="s">
        <v>472</v>
      </c>
      <c r="C290" s="375"/>
      <c r="D290" s="376"/>
      <c r="E290" s="376"/>
      <c r="F290" s="376"/>
      <c r="G290" s="376"/>
      <c r="H290" s="377"/>
      <c r="I290" s="377"/>
      <c r="J290" s="377"/>
      <c r="K290" s="377"/>
      <c r="L290" s="434">
        <v>384.75</v>
      </c>
      <c r="M290" s="434">
        <v>405</v>
      </c>
      <c r="N290" s="434">
        <v>444</v>
      </c>
      <c r="O290" s="434">
        <v>399.81562500000001</v>
      </c>
      <c r="P290" s="434">
        <v>397.81654687500003</v>
      </c>
      <c r="Q290" s="434">
        <v>395.82746414062501</v>
      </c>
      <c r="R290" s="434">
        <v>399.65625</v>
      </c>
      <c r="S290" s="434">
        <v>389.421875</v>
      </c>
      <c r="T290" s="434">
        <v>387.47476562499997</v>
      </c>
      <c r="U290" s="434">
        <f>T290*1.01</f>
        <v>391.34951328124998</v>
      </c>
      <c r="V290" s="434">
        <v>385.537391796875</v>
      </c>
      <c r="W290" s="434">
        <f>V290*1.01</f>
        <v>389.39276571484373</v>
      </c>
      <c r="X290" s="434">
        <v>383.6097048378906</v>
      </c>
      <c r="Y290" s="434">
        <f>X290*1.01</f>
        <v>387.44580188626952</v>
      </c>
      <c r="Z290" s="390" t="s">
        <v>244</v>
      </c>
      <c r="AA290" s="523"/>
      <c r="AB290" s="523"/>
      <c r="AC290" s="523"/>
      <c r="AD290" s="523"/>
      <c r="AE290" s="523"/>
      <c r="AF290" s="523"/>
      <c r="AG290" s="523"/>
      <c r="AH290" s="523"/>
      <c r="AI290" s="523"/>
      <c r="AJ290" s="523"/>
      <c r="AK290" s="523"/>
      <c r="AL290" s="523"/>
      <c r="AM290" s="523"/>
      <c r="AN290" s="378" t="e">
        <f>#REF!-#REF!</f>
        <v>#REF!</v>
      </c>
      <c r="AO290" s="378" t="e">
        <f>#REF!/#REF!-100%</f>
        <v>#REF!</v>
      </c>
    </row>
    <row r="291" spans="1:41" s="378" customFormat="1" ht="18" x14ac:dyDescent="0.2">
      <c r="A291" s="368" t="s">
        <v>433</v>
      </c>
      <c r="B291" s="369"/>
      <c r="C291" s="375"/>
      <c r="D291" s="376"/>
      <c r="E291" s="376"/>
      <c r="F291" s="376"/>
      <c r="G291" s="376"/>
      <c r="H291" s="377"/>
      <c r="I291" s="377"/>
      <c r="J291" s="377"/>
      <c r="K291" s="377"/>
      <c r="L291" s="524"/>
      <c r="M291" s="524"/>
      <c r="N291" s="524"/>
      <c r="O291" s="524"/>
      <c r="P291" s="524"/>
      <c r="Q291" s="524"/>
      <c r="R291" s="524"/>
      <c r="S291" s="524"/>
      <c r="T291" s="524"/>
      <c r="U291" s="524"/>
      <c r="V291" s="524"/>
      <c r="W291" s="524"/>
      <c r="X291" s="524"/>
      <c r="Y291" s="524"/>
      <c r="Z291" s="31"/>
      <c r="AA291" s="523"/>
      <c r="AB291" s="523"/>
      <c r="AC291" s="523"/>
      <c r="AD291" s="523"/>
      <c r="AE291" s="523"/>
      <c r="AF291" s="523"/>
      <c r="AG291" s="523"/>
      <c r="AH291" s="523"/>
      <c r="AI291" s="523"/>
      <c r="AJ291" s="523"/>
      <c r="AK291" s="523"/>
      <c r="AL291" s="523"/>
      <c r="AM291" s="523"/>
      <c r="AN291" s="378" t="e">
        <f>#REF!-#REF!</f>
        <v>#REF!</v>
      </c>
      <c r="AO291" s="378" t="e">
        <f>#REF!/#REF!-100%</f>
        <v>#REF!</v>
      </c>
    </row>
    <row r="292" spans="1:41" s="378" customFormat="1" x14ac:dyDescent="0.2">
      <c r="A292" s="368" t="s">
        <v>434</v>
      </c>
      <c r="B292" s="369" t="s">
        <v>472</v>
      </c>
      <c r="C292" s="375"/>
      <c r="D292" s="376"/>
      <c r="E292" s="376"/>
      <c r="F292" s="376"/>
      <c r="G292" s="376"/>
      <c r="H292" s="377"/>
      <c r="I292" s="377"/>
      <c r="J292" s="377"/>
      <c r="K292" s="377"/>
      <c r="L292" s="525"/>
      <c r="M292" s="521"/>
      <c r="N292" s="521"/>
      <c r="O292" s="521"/>
      <c r="P292" s="521"/>
      <c r="Q292" s="521"/>
      <c r="R292" s="521"/>
      <c r="S292" s="521"/>
      <c r="T292" s="521"/>
      <c r="U292" s="521"/>
      <c r="V292" s="521"/>
      <c r="W292" s="521"/>
      <c r="X292" s="521"/>
      <c r="Y292" s="521"/>
      <c r="Z292" s="31"/>
      <c r="AA292" s="523"/>
      <c r="AB292" s="523"/>
      <c r="AC292" s="523"/>
      <c r="AD292" s="523"/>
      <c r="AE292" s="523"/>
      <c r="AF292" s="523"/>
      <c r="AG292" s="523"/>
      <c r="AH292" s="523"/>
      <c r="AI292" s="523"/>
      <c r="AJ292" s="523"/>
      <c r="AK292" s="523"/>
      <c r="AL292" s="523"/>
      <c r="AM292" s="523"/>
      <c r="AN292" s="378" t="e">
        <f>#REF!-#REF!</f>
        <v>#REF!</v>
      </c>
      <c r="AO292" s="378" t="e">
        <f>#REF!/#REF!-100%</f>
        <v>#REF!</v>
      </c>
    </row>
    <row r="293" spans="1:41" s="378" customFormat="1" x14ac:dyDescent="0.2">
      <c r="A293" s="368" t="s">
        <v>421</v>
      </c>
      <c r="B293" s="369" t="s">
        <v>472</v>
      </c>
      <c r="C293" s="375"/>
      <c r="D293" s="376"/>
      <c r="E293" s="376"/>
      <c r="F293" s="376"/>
      <c r="G293" s="376"/>
      <c r="H293" s="377"/>
      <c r="I293" s="377"/>
      <c r="J293" s="377"/>
      <c r="K293" s="377"/>
      <c r="L293" s="525">
        <f>77/511*L$290</f>
        <v>57.976027397260268</v>
      </c>
      <c r="M293" s="521">
        <f t="shared" ref="M293:R299" si="62">L293/L$290*M$290</f>
        <v>61.027397260273972</v>
      </c>
      <c r="N293" s="521">
        <f t="shared" si="62"/>
        <v>66.904109589041099</v>
      </c>
      <c r="O293" s="521">
        <f t="shared" si="62"/>
        <v>60.246190068493163</v>
      </c>
      <c r="P293" s="521">
        <f t="shared" si="62"/>
        <v>59.944959118150699</v>
      </c>
      <c r="Q293" s="521">
        <f t="shared" si="62"/>
        <v>59.645234322559944</v>
      </c>
      <c r="R293" s="521">
        <f t="shared" si="62"/>
        <v>60.222174657534254</v>
      </c>
      <c r="S293" s="521">
        <f t="shared" ref="S293:S299" si="63">R293/R$290*S$290</f>
        <v>58.680008561643845</v>
      </c>
      <c r="T293" s="521">
        <f t="shared" ref="T293:T299" si="64">S293/S$290*T$290</f>
        <v>58.386608518835622</v>
      </c>
      <c r="U293" s="521">
        <f t="shared" ref="U293:Y298" si="65">T293/T$290*U$290</f>
        <v>58.970474604023977</v>
      </c>
      <c r="V293" s="521">
        <f t="shared" si="65"/>
        <v>58.094675476241449</v>
      </c>
      <c r="W293" s="521">
        <f t="shared" si="65"/>
        <v>58.675622231003857</v>
      </c>
      <c r="X293" s="521">
        <f t="shared" si="65"/>
        <v>57.804202098860237</v>
      </c>
      <c r="Y293" s="521">
        <f t="shared" si="65"/>
        <v>58.382244119848842</v>
      </c>
      <c r="Z293" s="31"/>
      <c r="AA293" s="523"/>
      <c r="AB293" s="523"/>
      <c r="AC293" s="523"/>
      <c r="AD293" s="523"/>
      <c r="AE293" s="523"/>
      <c r="AF293" s="523"/>
      <c r="AG293" s="523"/>
      <c r="AH293" s="523"/>
      <c r="AI293" s="523"/>
      <c r="AJ293" s="523"/>
      <c r="AK293" s="523"/>
      <c r="AL293" s="523"/>
      <c r="AM293" s="523"/>
      <c r="AN293" s="378" t="e">
        <f>#REF!-#REF!</f>
        <v>#REF!</v>
      </c>
      <c r="AO293" s="378" t="e">
        <f>#REF!/#REF!-100%</f>
        <v>#REF!</v>
      </c>
    </row>
    <row r="294" spans="1:41" s="378" customFormat="1" ht="18" x14ac:dyDescent="0.2">
      <c r="A294" s="368" t="s">
        <v>435</v>
      </c>
      <c r="B294" s="369" t="s">
        <v>472</v>
      </c>
      <c r="C294" s="375"/>
      <c r="D294" s="376"/>
      <c r="E294" s="376"/>
      <c r="F294" s="376"/>
      <c r="G294" s="376"/>
      <c r="H294" s="377"/>
      <c r="I294" s="377"/>
      <c r="J294" s="377"/>
      <c r="K294" s="377"/>
      <c r="L294" s="525">
        <f>10/511*L$290</f>
        <v>7.5293542074363984</v>
      </c>
      <c r="M294" s="521">
        <f t="shared" si="62"/>
        <v>7.9256360078277881</v>
      </c>
      <c r="N294" s="521">
        <f t="shared" si="62"/>
        <v>8.6888454011741683</v>
      </c>
      <c r="O294" s="521">
        <f t="shared" si="62"/>
        <v>7.8241805283757335</v>
      </c>
      <c r="P294" s="521">
        <f t="shared" si="62"/>
        <v>7.7850596257338553</v>
      </c>
      <c r="Q294" s="521">
        <f t="shared" si="62"/>
        <v>7.7461343276051853</v>
      </c>
      <c r="R294" s="521">
        <f t="shared" si="62"/>
        <v>7.8210616438356162</v>
      </c>
      <c r="S294" s="521">
        <f t="shared" si="63"/>
        <v>7.6207803326810168</v>
      </c>
      <c r="T294" s="521">
        <f t="shared" si="64"/>
        <v>7.582676431017612</v>
      </c>
      <c r="U294" s="521">
        <f t="shared" si="65"/>
        <v>7.6585031953277882</v>
      </c>
      <c r="V294" s="521">
        <f t="shared" si="65"/>
        <v>7.5447630488625244</v>
      </c>
      <c r="W294" s="521">
        <f t="shared" si="65"/>
        <v>7.6202106793511488</v>
      </c>
      <c r="X294" s="521">
        <f t="shared" si="65"/>
        <v>7.5070392336182108</v>
      </c>
      <c r="Y294" s="521">
        <f t="shared" si="65"/>
        <v>7.5821096259543932</v>
      </c>
      <c r="Z294" s="31"/>
      <c r="AA294" s="523"/>
      <c r="AB294" s="523"/>
      <c r="AC294" s="523"/>
      <c r="AD294" s="523"/>
      <c r="AE294" s="523"/>
      <c r="AF294" s="523"/>
      <c r="AG294" s="523"/>
      <c r="AH294" s="523"/>
      <c r="AI294" s="523"/>
      <c r="AJ294" s="523"/>
      <c r="AK294" s="523"/>
      <c r="AL294" s="523"/>
      <c r="AM294" s="523"/>
      <c r="AN294" s="378" t="e">
        <f>#REF!-#REF!</f>
        <v>#REF!</v>
      </c>
      <c r="AO294" s="378" t="e">
        <f>#REF!/#REF!-100%</f>
        <v>#REF!</v>
      </c>
    </row>
    <row r="295" spans="1:41" s="378" customFormat="1" x14ac:dyDescent="0.2">
      <c r="A295" s="368" t="s">
        <v>468</v>
      </c>
      <c r="B295" s="369" t="s">
        <v>472</v>
      </c>
      <c r="C295" s="375"/>
      <c r="D295" s="376"/>
      <c r="E295" s="376"/>
      <c r="F295" s="376"/>
      <c r="G295" s="376"/>
      <c r="H295" s="377"/>
      <c r="I295" s="377"/>
      <c r="J295" s="377"/>
      <c r="K295" s="377"/>
      <c r="L295" s="525">
        <f>112/511*L$290</f>
        <v>84.328767123287662</v>
      </c>
      <c r="M295" s="521">
        <f t="shared" si="62"/>
        <v>88.767123287671225</v>
      </c>
      <c r="N295" s="521">
        <f t="shared" si="62"/>
        <v>97.315068493150676</v>
      </c>
      <c r="O295" s="521">
        <f t="shared" si="62"/>
        <v>87.63082191780822</v>
      </c>
      <c r="P295" s="521">
        <f t="shared" si="62"/>
        <v>87.192667808219184</v>
      </c>
      <c r="Q295" s="521">
        <f t="shared" si="62"/>
        <v>86.756704469178075</v>
      </c>
      <c r="R295" s="521">
        <f t="shared" si="62"/>
        <v>87.595890410958901</v>
      </c>
      <c r="S295" s="521">
        <f t="shared" si="63"/>
        <v>85.352739726027394</v>
      </c>
      <c r="T295" s="521">
        <f t="shared" si="64"/>
        <v>84.925976027397255</v>
      </c>
      <c r="U295" s="521">
        <f t="shared" si="65"/>
        <v>85.775235787671221</v>
      </c>
      <c r="V295" s="521">
        <f t="shared" si="65"/>
        <v>84.501346147260264</v>
      </c>
      <c r="W295" s="521">
        <f t="shared" si="65"/>
        <v>85.346359608732868</v>
      </c>
      <c r="X295" s="521">
        <f t="shared" si="65"/>
        <v>84.078839416523962</v>
      </c>
      <c r="Y295" s="521">
        <f t="shared" si="65"/>
        <v>84.919627810689207</v>
      </c>
      <c r="Z295" s="31"/>
      <c r="AA295" s="523"/>
      <c r="AB295" s="523"/>
      <c r="AC295" s="523"/>
      <c r="AD295" s="523"/>
      <c r="AE295" s="523"/>
      <c r="AF295" s="523"/>
      <c r="AG295" s="523"/>
      <c r="AH295" s="523"/>
      <c r="AI295" s="523"/>
      <c r="AJ295" s="523"/>
      <c r="AK295" s="523"/>
      <c r="AL295" s="523"/>
      <c r="AM295" s="523"/>
      <c r="AN295" s="378" t="e">
        <f>#REF!-#REF!</f>
        <v>#REF!</v>
      </c>
      <c r="AO295" s="378" t="e">
        <f>#REF!/#REF!-100%</f>
        <v>#REF!</v>
      </c>
    </row>
    <row r="296" spans="1:41" s="378" customFormat="1" ht="27" x14ac:dyDescent="0.2">
      <c r="A296" s="368" t="s">
        <v>422</v>
      </c>
      <c r="B296" s="369" t="s">
        <v>472</v>
      </c>
      <c r="C296" s="375"/>
      <c r="D296" s="376"/>
      <c r="E296" s="376"/>
      <c r="F296" s="376"/>
      <c r="G296" s="376"/>
      <c r="H296" s="377"/>
      <c r="I296" s="377"/>
      <c r="J296" s="377"/>
      <c r="K296" s="377"/>
      <c r="L296" s="525">
        <f>(77+50)/511*L$290</f>
        <v>95.622798434442259</v>
      </c>
      <c r="M296" s="521">
        <f t="shared" si="62"/>
        <v>100.65557729941291</v>
      </c>
      <c r="N296" s="521">
        <f t="shared" si="62"/>
        <v>110.34833659491193</v>
      </c>
      <c r="O296" s="521">
        <f t="shared" si="62"/>
        <v>99.367092710371821</v>
      </c>
      <c r="P296" s="521">
        <f t="shared" si="62"/>
        <v>98.870257246819961</v>
      </c>
      <c r="Q296" s="521">
        <f t="shared" si="62"/>
        <v>98.375905960585854</v>
      </c>
      <c r="R296" s="521">
        <f t="shared" si="62"/>
        <v>99.327482876712324</v>
      </c>
      <c r="S296" s="521">
        <f t="shared" si="63"/>
        <v>96.783910225048913</v>
      </c>
      <c r="T296" s="521">
        <f t="shared" si="64"/>
        <v>96.299990673923674</v>
      </c>
      <c r="U296" s="521">
        <f t="shared" si="65"/>
        <v>97.262990580662915</v>
      </c>
      <c r="V296" s="521">
        <f t="shared" si="65"/>
        <v>95.818490720554067</v>
      </c>
      <c r="W296" s="521">
        <f t="shared" si="65"/>
        <v>96.776675627759602</v>
      </c>
      <c r="X296" s="521">
        <f t="shared" si="65"/>
        <v>95.339398266951292</v>
      </c>
      <c r="Y296" s="521">
        <f t="shared" si="65"/>
        <v>96.292792249620803</v>
      </c>
      <c r="Z296" s="31"/>
      <c r="AA296" s="523"/>
      <c r="AB296" s="523"/>
      <c r="AC296" s="523"/>
      <c r="AD296" s="523"/>
      <c r="AE296" s="523"/>
      <c r="AF296" s="523"/>
      <c r="AG296" s="523"/>
      <c r="AH296" s="523"/>
      <c r="AI296" s="523"/>
      <c r="AJ296" s="523"/>
      <c r="AK296" s="523"/>
      <c r="AL296" s="523"/>
      <c r="AM296" s="523"/>
      <c r="AN296" s="378" t="e">
        <f>#REF!-#REF!</f>
        <v>#REF!</v>
      </c>
      <c r="AO296" s="378" t="e">
        <f>#REF!/#REF!-100%</f>
        <v>#REF!</v>
      </c>
    </row>
    <row r="297" spans="1:41" s="378" customFormat="1" x14ac:dyDescent="0.2">
      <c r="A297" s="368" t="s">
        <v>423</v>
      </c>
      <c r="B297" s="369" t="s">
        <v>472</v>
      </c>
      <c r="C297" s="375"/>
      <c r="D297" s="376"/>
      <c r="E297" s="376"/>
      <c r="F297" s="376"/>
      <c r="G297" s="376"/>
      <c r="H297" s="377"/>
      <c r="I297" s="377"/>
      <c r="J297" s="377"/>
      <c r="K297" s="377"/>
      <c r="L297" s="525">
        <f>57/511*L$290</f>
        <v>42.917318982387471</v>
      </c>
      <c r="M297" s="521">
        <f t="shared" si="62"/>
        <v>45.17612524461839</v>
      </c>
      <c r="N297" s="521">
        <f t="shared" si="62"/>
        <v>49.526418786692759</v>
      </c>
      <c r="O297" s="521">
        <f t="shared" si="62"/>
        <v>44.59782901174168</v>
      </c>
      <c r="P297" s="521">
        <f t="shared" si="62"/>
        <v>44.374839866682976</v>
      </c>
      <c r="Q297" s="521">
        <f t="shared" si="62"/>
        <v>44.152965667349555</v>
      </c>
      <c r="R297" s="521">
        <f t="shared" si="62"/>
        <v>44.580051369863007</v>
      </c>
      <c r="S297" s="521">
        <f t="shared" si="63"/>
        <v>43.438447896281794</v>
      </c>
      <c r="T297" s="521">
        <f t="shared" si="64"/>
        <v>43.221255656800381</v>
      </c>
      <c r="U297" s="521">
        <f t="shared" si="65"/>
        <v>43.653468213368384</v>
      </c>
      <c r="V297" s="521">
        <f t="shared" si="65"/>
        <v>43.005149378516379</v>
      </c>
      <c r="W297" s="521">
        <f t="shared" si="65"/>
        <v>43.435200872301536</v>
      </c>
      <c r="X297" s="521">
        <f t="shared" si="65"/>
        <v>42.790123631623793</v>
      </c>
      <c r="Y297" s="521">
        <f t="shared" si="65"/>
        <v>43.218024867940031</v>
      </c>
      <c r="Z297" s="31"/>
      <c r="AA297" s="523"/>
      <c r="AB297" s="523"/>
      <c r="AC297" s="523"/>
      <c r="AD297" s="523"/>
      <c r="AE297" s="523"/>
      <c r="AF297" s="523"/>
      <c r="AG297" s="523"/>
      <c r="AH297" s="523"/>
      <c r="AI297" s="523"/>
      <c r="AJ297" s="523"/>
      <c r="AK297" s="523"/>
      <c r="AL297" s="523"/>
      <c r="AM297" s="523"/>
      <c r="AN297" s="378" t="e">
        <f>#REF!-#REF!</f>
        <v>#REF!</v>
      </c>
      <c r="AO297" s="378" t="e">
        <f>#REF!/#REF!-100%</f>
        <v>#REF!</v>
      </c>
    </row>
    <row r="298" spans="1:41" s="390" customFormat="1" ht="18" x14ac:dyDescent="0.2">
      <c r="A298" s="368" t="s">
        <v>431</v>
      </c>
      <c r="B298" s="369" t="s">
        <v>472</v>
      </c>
      <c r="C298" s="393">
        <v>1</v>
      </c>
      <c r="D298" s="296"/>
      <c r="E298" s="296"/>
      <c r="F298" s="296"/>
      <c r="G298" s="297" t="s">
        <v>705</v>
      </c>
      <c r="H298" s="394"/>
      <c r="I298" s="394"/>
      <c r="J298" s="394"/>
      <c r="K298" s="394"/>
      <c r="L298" s="525">
        <f>128/511*L$290</f>
        <v>96.375733855185899</v>
      </c>
      <c r="M298" s="521">
        <f t="shared" si="62"/>
        <v>101.44814090019568</v>
      </c>
      <c r="N298" s="521">
        <f t="shared" si="62"/>
        <v>111.21722113502935</v>
      </c>
      <c r="O298" s="521">
        <f t="shared" si="62"/>
        <v>100.14951076320939</v>
      </c>
      <c r="P298" s="521">
        <f t="shared" si="62"/>
        <v>99.648763209393351</v>
      </c>
      <c r="Q298" s="521">
        <f t="shared" si="62"/>
        <v>99.150519393346372</v>
      </c>
      <c r="R298" s="521">
        <f t="shared" si="62"/>
        <v>100.10958904109589</v>
      </c>
      <c r="S298" s="521">
        <f t="shared" si="63"/>
        <v>97.545988258317024</v>
      </c>
      <c r="T298" s="521">
        <f t="shared" si="64"/>
        <v>97.058258317025434</v>
      </c>
      <c r="U298" s="521">
        <f t="shared" si="65"/>
        <v>98.028840900195689</v>
      </c>
      <c r="V298" s="521">
        <f t="shared" si="65"/>
        <v>96.572967025440306</v>
      </c>
      <c r="W298" s="521">
        <f t="shared" si="65"/>
        <v>97.538696695694711</v>
      </c>
      <c r="X298" s="521">
        <f t="shared" si="65"/>
        <v>96.090102190313104</v>
      </c>
      <c r="Y298" s="521">
        <f t="shared" si="65"/>
        <v>97.05100321221623</v>
      </c>
      <c r="Z298" s="31"/>
      <c r="AA298" s="435"/>
      <c r="AB298" s="435"/>
      <c r="AC298" s="435"/>
      <c r="AD298" s="435"/>
      <c r="AE298" s="435"/>
      <c r="AF298" s="435"/>
      <c r="AG298" s="435"/>
      <c r="AH298" s="435"/>
      <c r="AI298" s="435"/>
      <c r="AJ298" s="435"/>
      <c r="AK298" s="435"/>
      <c r="AL298" s="435"/>
      <c r="AM298" s="435"/>
      <c r="AN298" s="395" t="e">
        <f>#REF!-#REF!</f>
        <v>#REF!</v>
      </c>
      <c r="AO298" s="396" t="e">
        <f>#REF!/#REF!-100%</f>
        <v>#REF!</v>
      </c>
    </row>
    <row r="299" spans="1:41" s="343" customFormat="1" x14ac:dyDescent="0.2">
      <c r="A299" s="368" t="s">
        <v>432</v>
      </c>
      <c r="B299" s="369" t="s">
        <v>472</v>
      </c>
      <c r="C299" s="364"/>
      <c r="D299" s="365"/>
      <c r="E299" s="365"/>
      <c r="F299" s="365"/>
      <c r="G299" s="366"/>
      <c r="H299" s="367"/>
      <c r="I299" s="367"/>
      <c r="J299" s="367"/>
      <c r="K299" s="367"/>
      <c r="L299" s="525"/>
      <c r="M299" s="521">
        <f t="shared" si="62"/>
        <v>0</v>
      </c>
      <c r="N299" s="521">
        <f t="shared" si="62"/>
        <v>0</v>
      </c>
      <c r="O299" s="521">
        <f t="shared" si="62"/>
        <v>0</v>
      </c>
      <c r="P299" s="521">
        <f t="shared" si="62"/>
        <v>0</v>
      </c>
      <c r="Q299" s="521">
        <f t="shared" si="62"/>
        <v>0</v>
      </c>
      <c r="R299" s="521">
        <f t="shared" si="62"/>
        <v>0</v>
      </c>
      <c r="S299" s="521">
        <f t="shared" si="63"/>
        <v>0</v>
      </c>
      <c r="T299" s="521">
        <f t="shared" si="64"/>
        <v>0</v>
      </c>
      <c r="U299" s="521"/>
      <c r="V299" s="521">
        <f>T299/T$290*V$290</f>
        <v>0</v>
      </c>
      <c r="W299" s="521"/>
      <c r="X299" s="521">
        <f>V299/V$290*X$290</f>
        <v>0</v>
      </c>
      <c r="Y299" s="521"/>
      <c r="Z299" s="31"/>
      <c r="AA299" s="444"/>
      <c r="AB299" s="444"/>
      <c r="AC299" s="444"/>
      <c r="AD299" s="444"/>
      <c r="AE299" s="444"/>
      <c r="AF299" s="444"/>
      <c r="AG299" s="444"/>
      <c r="AH299" s="444"/>
      <c r="AI299" s="444"/>
      <c r="AJ299" s="444"/>
      <c r="AK299" s="444"/>
      <c r="AL299" s="444"/>
      <c r="AM299" s="444"/>
      <c r="AN299" s="362" t="e">
        <f>#REF!-#REF!</f>
        <v>#REF!</v>
      </c>
      <c r="AO299" s="363" t="e">
        <f>#REF!/#REF!-100%</f>
        <v>#REF!</v>
      </c>
    </row>
    <row r="300" spans="1:41" s="343" customFormat="1" ht="52.5" x14ac:dyDescent="0.2">
      <c r="A300" s="264" t="s">
        <v>1039</v>
      </c>
      <c r="B300" s="469" t="s">
        <v>837</v>
      </c>
      <c r="C300" s="364"/>
      <c r="D300" s="365"/>
      <c r="E300" s="365"/>
      <c r="F300" s="365"/>
      <c r="G300" s="366"/>
      <c r="H300" s="367"/>
      <c r="I300" s="367"/>
      <c r="J300" s="367"/>
      <c r="K300" s="367"/>
      <c r="L300" s="526">
        <v>4.2530000000000001</v>
      </c>
      <c r="M300" s="526">
        <v>4.3929999999999998</v>
      </c>
      <c r="N300" s="526">
        <v>4.4849999999999994</v>
      </c>
      <c r="O300" s="526">
        <v>3.7110000000000003</v>
      </c>
      <c r="P300" s="526">
        <v>4.0489999999999995</v>
      </c>
      <c r="Q300" s="526">
        <v>3.875</v>
      </c>
      <c r="R300" s="526">
        <v>3.968</v>
      </c>
      <c r="S300" s="526">
        <v>3.9050000000000002</v>
      </c>
      <c r="T300" s="526">
        <v>3.9219999999999997</v>
      </c>
      <c r="U300" s="526">
        <v>3.96122</v>
      </c>
      <c r="V300" s="526">
        <v>3.907</v>
      </c>
      <c r="W300" s="526">
        <v>3.9460699999999997</v>
      </c>
      <c r="X300" s="526">
        <v>3.9089999999999998</v>
      </c>
      <c r="Y300" s="526">
        <v>3.9480900000000005</v>
      </c>
      <c r="Z300" s="390" t="s">
        <v>244</v>
      </c>
      <c r="AA300" s="444"/>
      <c r="AB300" s="444"/>
      <c r="AC300" s="444"/>
      <c r="AD300" s="444"/>
      <c r="AE300" s="444"/>
      <c r="AF300" s="444"/>
      <c r="AG300" s="444"/>
      <c r="AH300" s="444"/>
      <c r="AI300" s="444"/>
      <c r="AJ300" s="444"/>
      <c r="AK300" s="444"/>
      <c r="AL300" s="444"/>
      <c r="AM300" s="444"/>
      <c r="AN300" s="362" t="e">
        <f>#REF!-#REF!</f>
        <v>#REF!</v>
      </c>
      <c r="AO300" s="363" t="e">
        <f>#REF!/#REF!-100%</f>
        <v>#REF!</v>
      </c>
    </row>
    <row r="301" spans="1:41" s="343" customFormat="1" ht="18" x14ac:dyDescent="0.2">
      <c r="A301" s="373" t="s">
        <v>433</v>
      </c>
      <c r="B301" s="374"/>
      <c r="C301" s="364"/>
      <c r="D301" s="365"/>
      <c r="E301" s="365"/>
      <c r="F301" s="365"/>
      <c r="G301" s="366"/>
      <c r="H301" s="367"/>
      <c r="I301" s="367"/>
      <c r="J301" s="367"/>
      <c r="K301" s="367"/>
      <c r="L301" s="527"/>
      <c r="M301" s="527"/>
      <c r="N301" s="527"/>
      <c r="O301" s="527"/>
      <c r="P301" s="527"/>
      <c r="Q301" s="527"/>
      <c r="R301" s="527"/>
      <c r="S301" s="527"/>
      <c r="T301" s="527"/>
      <c r="U301" s="527"/>
      <c r="V301" s="527"/>
      <c r="W301" s="527"/>
      <c r="X301" s="527"/>
      <c r="Y301" s="527"/>
      <c r="Z301" s="523"/>
      <c r="AA301" s="444"/>
      <c r="AB301" s="444"/>
      <c r="AC301" s="444"/>
      <c r="AD301" s="444"/>
      <c r="AE301" s="444"/>
      <c r="AF301" s="444"/>
      <c r="AG301" s="444"/>
      <c r="AH301" s="444"/>
      <c r="AI301" s="444"/>
      <c r="AJ301" s="444"/>
      <c r="AK301" s="444"/>
      <c r="AL301" s="444"/>
      <c r="AM301" s="444"/>
      <c r="AN301" s="362" t="e">
        <f>#REF!-#REF!</f>
        <v>#REF!</v>
      </c>
      <c r="AO301" s="363" t="e">
        <f>#REF!/#REF!-100%</f>
        <v>#REF!</v>
      </c>
    </row>
    <row r="302" spans="1:41" s="343" customFormat="1" ht="18" customHeight="1" x14ac:dyDescent="0.2">
      <c r="A302" s="373" t="s">
        <v>434</v>
      </c>
      <c r="B302" s="374" t="s">
        <v>837</v>
      </c>
      <c r="C302" s="364"/>
      <c r="D302" s="365"/>
      <c r="E302" s="365"/>
      <c r="F302" s="365"/>
      <c r="G302" s="366"/>
      <c r="H302" s="367"/>
      <c r="I302" s="367"/>
      <c r="J302" s="367"/>
      <c r="K302" s="367"/>
      <c r="L302" s="528">
        <f>L$300/L$271*L273</f>
        <v>0</v>
      </c>
      <c r="M302" s="528">
        <f t="shared" ref="M302:Y302" si="66">M$300/M$271*M273</f>
        <v>0</v>
      </c>
      <c r="N302" s="528">
        <f t="shared" si="66"/>
        <v>0</v>
      </c>
      <c r="O302" s="528">
        <f t="shared" si="66"/>
        <v>0</v>
      </c>
      <c r="P302" s="528">
        <f t="shared" si="66"/>
        <v>0</v>
      </c>
      <c r="Q302" s="528">
        <f t="shared" si="66"/>
        <v>0</v>
      </c>
      <c r="R302" s="528">
        <f t="shared" si="66"/>
        <v>0</v>
      </c>
      <c r="S302" s="528">
        <f t="shared" si="66"/>
        <v>0</v>
      </c>
      <c r="T302" s="528">
        <f t="shared" si="66"/>
        <v>0</v>
      </c>
      <c r="U302" s="528">
        <f t="shared" si="66"/>
        <v>0</v>
      </c>
      <c r="V302" s="528">
        <f t="shared" si="66"/>
        <v>0</v>
      </c>
      <c r="W302" s="528">
        <f t="shared" si="66"/>
        <v>0</v>
      </c>
      <c r="X302" s="528">
        <f t="shared" si="66"/>
        <v>0</v>
      </c>
      <c r="Y302" s="528">
        <f t="shared" si="66"/>
        <v>0</v>
      </c>
      <c r="Z302" s="523"/>
      <c r="AA302" s="444"/>
      <c r="AB302" s="444"/>
      <c r="AC302" s="444"/>
      <c r="AD302" s="444"/>
      <c r="AE302" s="444"/>
      <c r="AF302" s="444"/>
      <c r="AG302" s="444"/>
      <c r="AH302" s="444"/>
      <c r="AI302" s="444"/>
      <c r="AJ302" s="444"/>
      <c r="AK302" s="444"/>
      <c r="AL302" s="444"/>
      <c r="AM302" s="444"/>
      <c r="AN302" s="362" t="e">
        <f>#REF!-#REF!</f>
        <v>#REF!</v>
      </c>
      <c r="AO302" s="363" t="e">
        <f>#REF!/#REF!-100%</f>
        <v>#REF!</v>
      </c>
    </row>
    <row r="303" spans="1:41" s="343" customFormat="1" ht="15" customHeight="1" x14ac:dyDescent="0.2">
      <c r="A303" s="373" t="s">
        <v>421</v>
      </c>
      <c r="B303" s="374" t="s">
        <v>837</v>
      </c>
      <c r="C303" s="364"/>
      <c r="D303" s="365"/>
      <c r="E303" s="365"/>
      <c r="F303" s="365"/>
      <c r="G303" s="366"/>
      <c r="H303" s="367"/>
      <c r="I303" s="367"/>
      <c r="J303" s="367"/>
      <c r="K303" s="367"/>
      <c r="L303" s="528">
        <f>L$300/L$271*L274</f>
        <v>0.64617617357960211</v>
      </c>
      <c r="M303" s="528">
        <f t="shared" ref="M303:Y303" si="67">M$300/M$271*M274</f>
        <v>0.66744696227020728</v>
      </c>
      <c r="N303" s="528">
        <f t="shared" si="67"/>
        <v>0.68142490912403364</v>
      </c>
      <c r="O303" s="528">
        <f t="shared" si="67"/>
        <v>0.56382783450597307</v>
      </c>
      <c r="P303" s="528">
        <f t="shared" si="67"/>
        <v>0.61518159577329146</v>
      </c>
      <c r="Q303" s="528">
        <f t="shared" si="67"/>
        <v>0.58874504411496786</v>
      </c>
      <c r="R303" s="528">
        <f t="shared" si="67"/>
        <v>0.60287492517372698</v>
      </c>
      <c r="S303" s="528">
        <f t="shared" si="67"/>
        <v>0.5933030702629547</v>
      </c>
      <c r="T303" s="528">
        <f t="shared" si="67"/>
        <v>0.5958859517468138</v>
      </c>
      <c r="U303" s="528">
        <f t="shared" si="67"/>
        <v>0.60184481126428202</v>
      </c>
      <c r="V303" s="528">
        <f t="shared" si="67"/>
        <v>0.59360693867282044</v>
      </c>
      <c r="W303" s="528">
        <f t="shared" si="67"/>
        <v>0.59954300805954852</v>
      </c>
      <c r="X303" s="528">
        <f t="shared" si="67"/>
        <v>0.59391080708268629</v>
      </c>
      <c r="Y303" s="528">
        <f t="shared" si="67"/>
        <v>0.59984991515351316</v>
      </c>
      <c r="Z303" s="523"/>
      <c r="AA303" s="444"/>
      <c r="AB303" s="444"/>
      <c r="AC303" s="444"/>
      <c r="AD303" s="444"/>
      <c r="AE303" s="444"/>
      <c r="AF303" s="444"/>
      <c r="AG303" s="444"/>
      <c r="AH303" s="444"/>
      <c r="AI303" s="444"/>
      <c r="AJ303" s="444"/>
      <c r="AK303" s="444"/>
      <c r="AL303" s="444"/>
      <c r="AM303" s="444"/>
      <c r="AN303" s="362" t="e">
        <f>#REF!-#REF!</f>
        <v>#REF!</v>
      </c>
      <c r="AO303" s="363" t="e">
        <f>#REF!/#REF!-100%</f>
        <v>#REF!</v>
      </c>
    </row>
    <row r="304" spans="1:41" s="343" customFormat="1" ht="18" x14ac:dyDescent="0.2">
      <c r="A304" s="373" t="s">
        <v>435</v>
      </c>
      <c r="B304" s="374" t="s">
        <v>837</v>
      </c>
      <c r="C304" s="364">
        <v>1</v>
      </c>
      <c r="D304" s="365"/>
      <c r="E304" s="365"/>
      <c r="F304" s="365"/>
      <c r="G304" s="366" t="s">
        <v>705</v>
      </c>
      <c r="H304" s="367"/>
      <c r="I304" s="367"/>
      <c r="J304" s="367"/>
      <c r="K304" s="367"/>
      <c r="L304" s="528">
        <f t="shared" ref="L304:Y304" si="68">L$300/L$271*L275</f>
        <v>8.1120566039840414E-2</v>
      </c>
      <c r="M304" s="528">
        <f t="shared" si="68"/>
        <v>8.3790887988012902E-2</v>
      </c>
      <c r="N304" s="528">
        <f t="shared" si="68"/>
        <v>8.5545670982526273E-2</v>
      </c>
      <c r="O304" s="528">
        <f t="shared" si="68"/>
        <v>7.0782605354772571E-2</v>
      </c>
      <c r="P304" s="528">
        <f t="shared" si="68"/>
        <v>7.7229525486789033E-2</v>
      </c>
      <c r="Q304" s="528">
        <f t="shared" si="68"/>
        <v>7.3910696779774659E-2</v>
      </c>
      <c r="R304" s="528">
        <f t="shared" si="68"/>
        <v>7.5684553502489246E-2</v>
      </c>
      <c r="S304" s="528">
        <f t="shared" si="68"/>
        <v>7.4482908625811625E-2</v>
      </c>
      <c r="T304" s="528">
        <f t="shared" si="68"/>
        <v>7.4807162005232547E-2</v>
      </c>
      <c r="U304" s="528">
        <f t="shared" si="68"/>
        <v>7.5555233625284893E-2</v>
      </c>
      <c r="V304" s="528">
        <f t="shared" si="68"/>
        <v>7.4521056082214085E-2</v>
      </c>
      <c r="W304" s="528">
        <f t="shared" si="68"/>
        <v>7.5266266643036206E-2</v>
      </c>
      <c r="X304" s="528">
        <f t="shared" si="68"/>
        <v>7.4559203538616545E-2</v>
      </c>
      <c r="Y304" s="528">
        <f t="shared" si="68"/>
        <v>7.5304795574002714E-2</v>
      </c>
      <c r="Z304" s="523"/>
      <c r="AA304" s="444"/>
      <c r="AB304" s="444"/>
      <c r="AC304" s="444"/>
      <c r="AD304" s="444"/>
      <c r="AE304" s="444"/>
      <c r="AF304" s="444"/>
      <c r="AG304" s="444"/>
      <c r="AH304" s="444"/>
      <c r="AI304" s="444"/>
      <c r="AJ304" s="444"/>
      <c r="AK304" s="444"/>
      <c r="AL304" s="444"/>
      <c r="AM304" s="444"/>
      <c r="AN304" s="362" t="e">
        <f>#REF!-#REF!</f>
        <v>#REF!</v>
      </c>
      <c r="AO304" s="363" t="e">
        <f>#REF!/#REF!-100%</f>
        <v>#REF!</v>
      </c>
    </row>
    <row r="305" spans="1:41" s="343" customFormat="1" ht="9.75" x14ac:dyDescent="0.2">
      <c r="A305" s="373" t="s">
        <v>468</v>
      </c>
      <c r="B305" s="374" t="s">
        <v>837</v>
      </c>
      <c r="C305" s="364"/>
      <c r="D305" s="365"/>
      <c r="E305" s="365"/>
      <c r="F305" s="365"/>
      <c r="G305" s="366"/>
      <c r="H305" s="367"/>
      <c r="I305" s="367"/>
      <c r="J305" s="367"/>
      <c r="K305" s="367"/>
      <c r="L305" s="528">
        <f t="shared" ref="L305:Y305" si="69">L$300/L$271*L276</f>
        <v>0.96241987732828993</v>
      </c>
      <c r="M305" s="528">
        <f t="shared" si="69"/>
        <v>0.99410075737201431</v>
      </c>
      <c r="N305" s="528">
        <f t="shared" si="69"/>
        <v>1.0149196214007477</v>
      </c>
      <c r="O305" s="528">
        <f t="shared" si="69"/>
        <v>0.83976961315901322</v>
      </c>
      <c r="P305" s="528">
        <f t="shared" si="69"/>
        <v>0.91625630926457668</v>
      </c>
      <c r="Q305" s="528">
        <f t="shared" si="69"/>
        <v>0.87688150121023345</v>
      </c>
      <c r="R305" s="528">
        <f t="shared" si="69"/>
        <v>0.89792665723927911</v>
      </c>
      <c r="S305" s="528">
        <f t="shared" si="69"/>
        <v>0.8836702612196029</v>
      </c>
      <c r="T305" s="528">
        <f t="shared" si="69"/>
        <v>0.88751722522491217</v>
      </c>
      <c r="U305" s="528">
        <f t="shared" si="69"/>
        <v>0.89639239747716137</v>
      </c>
      <c r="V305" s="528">
        <f t="shared" si="69"/>
        <v>0.88412284522022755</v>
      </c>
      <c r="W305" s="528">
        <f t="shared" si="69"/>
        <v>0.89296407367242958</v>
      </c>
      <c r="X305" s="528">
        <f t="shared" si="69"/>
        <v>0.88457542922085208</v>
      </c>
      <c r="Y305" s="528">
        <f t="shared" si="69"/>
        <v>0.89342118351306055</v>
      </c>
      <c r="Z305" s="523"/>
      <c r="AA305" s="444"/>
      <c r="AB305" s="444"/>
      <c r="AC305" s="444"/>
      <c r="AD305" s="444"/>
      <c r="AE305" s="444"/>
      <c r="AF305" s="444"/>
      <c r="AG305" s="444"/>
      <c r="AH305" s="444"/>
      <c r="AI305" s="444"/>
      <c r="AJ305" s="444"/>
      <c r="AK305" s="444"/>
      <c r="AL305" s="444"/>
      <c r="AM305" s="444"/>
      <c r="AN305" s="362" t="e">
        <f>#REF!-#REF!</f>
        <v>#REF!</v>
      </c>
      <c r="AO305" s="363" t="e">
        <f>#REF!/#REF!-100%</f>
        <v>#REF!</v>
      </c>
    </row>
    <row r="306" spans="1:41" s="343" customFormat="1" ht="27" x14ac:dyDescent="0.2">
      <c r="A306" s="373" t="s">
        <v>422</v>
      </c>
      <c r="B306" s="374" t="s">
        <v>837</v>
      </c>
      <c r="C306" s="364">
        <v>1</v>
      </c>
      <c r="D306" s="365"/>
      <c r="E306" s="365"/>
      <c r="F306" s="365"/>
      <c r="G306" s="366" t="s">
        <v>705</v>
      </c>
      <c r="H306" s="367"/>
      <c r="I306" s="367"/>
      <c r="J306" s="367"/>
      <c r="K306" s="367"/>
      <c r="L306" s="528">
        <f t="shared" ref="L306:Y306" si="70">L$300/L$271*L277</f>
        <v>1.0410050962423887</v>
      </c>
      <c r="M306" s="528">
        <f t="shared" si="70"/>
        <v>1.0752728398290179</v>
      </c>
      <c r="N306" s="528">
        <f t="shared" si="70"/>
        <v>1.0977916427573744</v>
      </c>
      <c r="O306" s="528">
        <f t="shared" si="70"/>
        <v>0.90833997464272387</v>
      </c>
      <c r="P306" s="528">
        <f t="shared" si="70"/>
        <v>0.99107209844472877</v>
      </c>
      <c r="Q306" s="528">
        <f t="shared" si="70"/>
        <v>0.94848218855848965</v>
      </c>
      <c r="R306" s="528">
        <f t="shared" si="70"/>
        <v>0.97124576108389338</v>
      </c>
      <c r="S306" s="528">
        <f t="shared" si="70"/>
        <v>0.95582527646991011</v>
      </c>
      <c r="T306" s="528">
        <f t="shared" si="70"/>
        <v>0.95998635961971501</v>
      </c>
      <c r="U306" s="528">
        <f t="shared" si="70"/>
        <v>0.96958622321591237</v>
      </c>
      <c r="V306" s="528">
        <f t="shared" si="70"/>
        <v>0.95631481566400489</v>
      </c>
      <c r="W306" s="528">
        <f t="shared" si="70"/>
        <v>0.96587796382064472</v>
      </c>
      <c r="X306" s="528">
        <f t="shared" si="70"/>
        <v>0.95680435485809956</v>
      </c>
      <c r="Y306" s="528">
        <f t="shared" si="70"/>
        <v>0.96637239840668065</v>
      </c>
      <c r="Z306" s="523"/>
      <c r="AA306" s="444"/>
      <c r="AB306" s="444"/>
      <c r="AC306" s="444"/>
      <c r="AD306" s="444"/>
      <c r="AE306" s="444"/>
      <c r="AF306" s="444"/>
      <c r="AG306" s="444"/>
      <c r="AH306" s="444"/>
      <c r="AI306" s="444"/>
      <c r="AJ306" s="444"/>
      <c r="AK306" s="444"/>
      <c r="AL306" s="444"/>
      <c r="AM306" s="444"/>
      <c r="AN306" s="362" t="e">
        <f>#REF!-#REF!</f>
        <v>#REF!</v>
      </c>
      <c r="AO306" s="363" t="e">
        <f>#REF!/#REF!-100%</f>
        <v>#REF!</v>
      </c>
    </row>
    <row r="307" spans="1:41" s="343" customFormat="1" ht="9.75" x14ac:dyDescent="0.2">
      <c r="A307" s="373" t="s">
        <v>423</v>
      </c>
      <c r="B307" s="374" t="s">
        <v>837</v>
      </c>
      <c r="C307" s="364">
        <v>1</v>
      </c>
      <c r="D307" s="365"/>
      <c r="E307" s="365"/>
      <c r="F307" s="365"/>
      <c r="G307" s="366" t="s">
        <v>705</v>
      </c>
      <c r="H307" s="367"/>
      <c r="I307" s="367"/>
      <c r="J307" s="367"/>
      <c r="K307" s="367"/>
      <c r="L307" s="528">
        <f t="shared" ref="L307:Y307" si="71">L$300/L$271*L278</f>
        <v>0.48393504149992128</v>
      </c>
      <c r="M307" s="528">
        <f t="shared" si="71"/>
        <v>0.49986518629418147</v>
      </c>
      <c r="N307" s="528">
        <f t="shared" si="71"/>
        <v>0.51033356715898115</v>
      </c>
      <c r="O307" s="528">
        <f t="shared" si="71"/>
        <v>0.42226262379642793</v>
      </c>
      <c r="P307" s="528">
        <f t="shared" si="71"/>
        <v>0.46072254479971342</v>
      </c>
      <c r="Q307" s="528">
        <f t="shared" si="71"/>
        <v>0.44092365055541854</v>
      </c>
      <c r="R307" s="528">
        <f t="shared" si="71"/>
        <v>0.45150581816874863</v>
      </c>
      <c r="S307" s="528">
        <f t="shared" si="71"/>
        <v>0.44433725301133148</v>
      </c>
      <c r="T307" s="528">
        <f t="shared" si="71"/>
        <v>0.44627162773634876</v>
      </c>
      <c r="U307" s="528">
        <f t="shared" si="71"/>
        <v>0.45073434401371232</v>
      </c>
      <c r="V307" s="528">
        <f t="shared" si="71"/>
        <v>0.44456482650839241</v>
      </c>
      <c r="W307" s="528">
        <f t="shared" si="71"/>
        <v>0.44901047477347622</v>
      </c>
      <c r="X307" s="528">
        <f t="shared" si="71"/>
        <v>0.44479240000545328</v>
      </c>
      <c r="Y307" s="528">
        <f t="shared" si="71"/>
        <v>0.44924032400550779</v>
      </c>
      <c r="Z307" s="523"/>
      <c r="AA307" s="444"/>
      <c r="AB307" s="444"/>
      <c r="AC307" s="444"/>
      <c r="AD307" s="444"/>
      <c r="AE307" s="444"/>
      <c r="AF307" s="444"/>
      <c r="AG307" s="444"/>
      <c r="AH307" s="444"/>
      <c r="AI307" s="444"/>
      <c r="AJ307" s="444"/>
      <c r="AK307" s="444"/>
      <c r="AL307" s="444"/>
      <c r="AM307" s="444"/>
      <c r="AN307" s="362" t="e">
        <f>#REF!-#REF!</f>
        <v>#REF!</v>
      </c>
      <c r="AO307" s="363" t="e">
        <f>#REF!/#REF!-100%</f>
        <v>#REF!</v>
      </c>
    </row>
    <row r="308" spans="1:41" s="390" customFormat="1" ht="18" x14ac:dyDescent="0.2">
      <c r="A308" s="373" t="s">
        <v>431</v>
      </c>
      <c r="B308" s="374" t="s">
        <v>837</v>
      </c>
      <c r="C308" s="393"/>
      <c r="D308" s="296"/>
      <c r="E308" s="296"/>
      <c r="F308" s="296"/>
      <c r="G308" s="297"/>
      <c r="H308" s="394"/>
      <c r="I308" s="394"/>
      <c r="J308" s="394"/>
      <c r="K308" s="394"/>
      <c r="L308" s="528">
        <f t="shared" ref="L308:Y308" si="72">L$300/L$271*L279</f>
        <v>1.0383432453099573</v>
      </c>
      <c r="M308" s="528">
        <f t="shared" si="72"/>
        <v>1.0725233662465652</v>
      </c>
      <c r="N308" s="528">
        <f t="shared" si="72"/>
        <v>1.0949845885763363</v>
      </c>
      <c r="O308" s="528">
        <f t="shared" si="72"/>
        <v>0.90601734854108895</v>
      </c>
      <c r="P308" s="528">
        <f t="shared" si="72"/>
        <v>0.98853792623089964</v>
      </c>
      <c r="Q308" s="528">
        <f t="shared" si="72"/>
        <v>0.94605691878111564</v>
      </c>
      <c r="R308" s="528">
        <f t="shared" si="72"/>
        <v>0.96876228483186233</v>
      </c>
      <c r="S308" s="528">
        <f t="shared" si="72"/>
        <v>0.95338123041038869</v>
      </c>
      <c r="T308" s="528">
        <f t="shared" si="72"/>
        <v>0.95753167366697667</v>
      </c>
      <c r="U308" s="528">
        <f t="shared" si="72"/>
        <v>0.96710699040364667</v>
      </c>
      <c r="V308" s="528">
        <f t="shared" si="72"/>
        <v>0.95386951785234031</v>
      </c>
      <c r="W308" s="528">
        <f t="shared" si="72"/>
        <v>0.96340821303086355</v>
      </c>
      <c r="X308" s="528">
        <f t="shared" si="72"/>
        <v>0.95435780529429182</v>
      </c>
      <c r="Y308" s="528">
        <f t="shared" si="72"/>
        <v>0.96390138334723463</v>
      </c>
      <c r="Z308" s="523"/>
      <c r="AA308" s="435"/>
      <c r="AB308" s="435"/>
      <c r="AC308" s="435"/>
      <c r="AD308" s="435"/>
      <c r="AE308" s="435"/>
      <c r="AF308" s="435"/>
      <c r="AG308" s="435"/>
      <c r="AH308" s="435"/>
      <c r="AI308" s="435"/>
      <c r="AJ308" s="435"/>
      <c r="AK308" s="435"/>
      <c r="AL308" s="435"/>
      <c r="AM308" s="435"/>
      <c r="AN308" s="395" t="e">
        <f>#REF!-#REF!</f>
        <v>#REF!</v>
      </c>
      <c r="AO308" s="396" t="e">
        <f>#REF!/#REF!-100%</f>
        <v>#REF!</v>
      </c>
    </row>
    <row r="309" spans="1:41" s="343" customFormat="1" ht="9.75" x14ac:dyDescent="0.2">
      <c r="A309" s="373" t="s">
        <v>432</v>
      </c>
      <c r="B309" s="374" t="s">
        <v>837</v>
      </c>
      <c r="C309" s="364"/>
      <c r="D309" s="365"/>
      <c r="E309" s="365"/>
      <c r="F309" s="365"/>
      <c r="G309" s="366"/>
      <c r="H309" s="367"/>
      <c r="I309" s="367"/>
      <c r="J309" s="367"/>
      <c r="K309" s="367"/>
      <c r="L309" s="528">
        <f t="shared" ref="L309:Y309" si="73">L$300/L$271*L280</f>
        <v>0</v>
      </c>
      <c r="M309" s="528">
        <f t="shared" si="73"/>
        <v>0</v>
      </c>
      <c r="N309" s="528">
        <f t="shared" si="73"/>
        <v>0</v>
      </c>
      <c r="O309" s="528">
        <f t="shared" si="73"/>
        <v>0</v>
      </c>
      <c r="P309" s="528">
        <f t="shared" si="73"/>
        <v>0</v>
      </c>
      <c r="Q309" s="528">
        <f t="shared" si="73"/>
        <v>0</v>
      </c>
      <c r="R309" s="528">
        <f t="shared" si="73"/>
        <v>0</v>
      </c>
      <c r="S309" s="528">
        <f t="shared" si="73"/>
        <v>0</v>
      </c>
      <c r="T309" s="528">
        <f t="shared" si="73"/>
        <v>0</v>
      </c>
      <c r="U309" s="528">
        <f t="shared" si="73"/>
        <v>0</v>
      </c>
      <c r="V309" s="528">
        <f t="shared" si="73"/>
        <v>0</v>
      </c>
      <c r="W309" s="528">
        <f t="shared" si="73"/>
        <v>0</v>
      </c>
      <c r="X309" s="528">
        <f t="shared" si="73"/>
        <v>0</v>
      </c>
      <c r="Y309" s="528">
        <f t="shared" si="73"/>
        <v>0</v>
      </c>
      <c r="Z309" s="523"/>
      <c r="AA309" s="444"/>
      <c r="AB309" s="444"/>
      <c r="AC309" s="444"/>
      <c r="AD309" s="444"/>
      <c r="AE309" s="444"/>
      <c r="AF309" s="444"/>
      <c r="AG309" s="444"/>
      <c r="AH309" s="444"/>
      <c r="AI309" s="444"/>
      <c r="AJ309" s="444"/>
      <c r="AK309" s="444"/>
      <c r="AL309" s="444"/>
      <c r="AM309" s="444"/>
      <c r="AN309" s="362" t="e">
        <f>#REF!-#REF!</f>
        <v>#REF!</v>
      </c>
      <c r="AO309" s="363" t="e">
        <f>#REF!/#REF!-100%</f>
        <v>#REF!</v>
      </c>
    </row>
    <row r="310" spans="1:41" s="343" customFormat="1" ht="31.5" x14ac:dyDescent="0.2">
      <c r="A310" s="264" t="s">
        <v>1040</v>
      </c>
      <c r="B310" s="469" t="s">
        <v>1041</v>
      </c>
      <c r="C310" s="364"/>
      <c r="D310" s="365"/>
      <c r="E310" s="365"/>
      <c r="F310" s="365"/>
      <c r="G310" s="366"/>
      <c r="H310" s="367"/>
      <c r="I310" s="367"/>
      <c r="J310" s="367"/>
      <c r="K310" s="367"/>
      <c r="L310" s="397">
        <f>6147.53613/1000</f>
        <v>6.1475361300000007</v>
      </c>
      <c r="M310" s="397">
        <f>6548.1957/1000</f>
        <v>6.5481957</v>
      </c>
      <c r="N310" s="397">
        <f>6984.773/1000</f>
        <v>6.9847730000000006</v>
      </c>
      <c r="O310" s="397">
        <f>8033.075576/1000</f>
        <v>8.0330755759999999</v>
      </c>
      <c r="P310" s="437">
        <f>8500.83666739433/1000</f>
        <v>8.5008366673943296</v>
      </c>
      <c r="Q310" s="437">
        <f>8992.42749263895/1000</f>
        <v>8.9924274926389494</v>
      </c>
      <c r="R310" s="437">
        <f>9764.55083288508/1000</f>
        <v>9.7645508328850799</v>
      </c>
      <c r="S310" s="437">
        <f>11105.1371498434/1000</f>
        <v>11.105137149843401</v>
      </c>
      <c r="T310" s="437">
        <f>11904.3972266066/1000</f>
        <v>11.9043972266066</v>
      </c>
      <c r="U310" s="529">
        <f>12023.4411988727/1000</f>
        <v>12.023441198872701</v>
      </c>
      <c r="V310" s="437">
        <f>12733.0133484875/1000</f>
        <v>12.7330133484875</v>
      </c>
      <c r="W310" s="529">
        <f>12860.3434819724/1000</f>
        <v>12.8603434819724</v>
      </c>
      <c r="X310" s="437">
        <f>13478.2951607911/1000</f>
        <v>13.478295160791101</v>
      </c>
      <c r="Y310" s="529">
        <f>13613.0781123991/1000</f>
        <v>13.6130781123991</v>
      </c>
      <c r="Z310" s="390" t="s">
        <v>244</v>
      </c>
      <c r="AA310" s="444"/>
      <c r="AB310" s="444"/>
      <c r="AC310" s="444"/>
      <c r="AD310" s="444"/>
      <c r="AE310" s="444"/>
      <c r="AF310" s="444"/>
      <c r="AG310" s="444"/>
      <c r="AH310" s="444"/>
      <c r="AI310" s="444"/>
      <c r="AJ310" s="444"/>
      <c r="AK310" s="444"/>
      <c r="AL310" s="444"/>
      <c r="AM310" s="444"/>
      <c r="AN310" s="362" t="e">
        <f>#REF!-#REF!</f>
        <v>#REF!</v>
      </c>
      <c r="AO310" s="363" t="e">
        <f>#REF!/#REF!-100%</f>
        <v>#REF!</v>
      </c>
    </row>
    <row r="311" spans="1:41" s="343" customFormat="1" ht="9.75" x14ac:dyDescent="0.2">
      <c r="A311" s="357" t="s">
        <v>76</v>
      </c>
      <c r="B311" s="261"/>
      <c r="C311" s="364"/>
      <c r="D311" s="365"/>
      <c r="E311" s="365"/>
      <c r="F311" s="365"/>
      <c r="G311" s="366"/>
      <c r="H311" s="367"/>
      <c r="I311" s="367"/>
      <c r="J311" s="367"/>
      <c r="K311" s="367"/>
      <c r="L311" s="358"/>
      <c r="M311" s="358"/>
      <c r="N311" s="358"/>
      <c r="O311" s="358"/>
      <c r="P311" s="361"/>
      <c r="Q311" s="361"/>
      <c r="R311" s="361"/>
      <c r="S311" s="361"/>
      <c r="T311" s="361"/>
      <c r="U311" s="361"/>
      <c r="V311" s="361"/>
      <c r="W311" s="361"/>
      <c r="X311" s="361"/>
      <c r="Y311" s="361"/>
      <c r="Z311" s="444"/>
      <c r="AA311" s="444"/>
      <c r="AB311" s="444"/>
      <c r="AC311" s="444"/>
      <c r="AD311" s="444"/>
      <c r="AE311" s="444"/>
      <c r="AF311" s="444"/>
      <c r="AG311" s="444"/>
      <c r="AH311" s="444"/>
      <c r="AI311" s="444"/>
      <c r="AJ311" s="444"/>
      <c r="AK311" s="444"/>
      <c r="AL311" s="444"/>
      <c r="AM311" s="444"/>
      <c r="AN311" s="362" t="e">
        <f>#REF!-#REF!</f>
        <v>#REF!</v>
      </c>
      <c r="AO311" s="363" t="e">
        <f>#REF!/#REF!-100%</f>
        <v>#REF!</v>
      </c>
    </row>
    <row r="312" spans="1:41" s="343" customFormat="1" ht="9.75" x14ac:dyDescent="0.2">
      <c r="A312" s="357" t="s">
        <v>434</v>
      </c>
      <c r="B312" s="261" t="s">
        <v>1041</v>
      </c>
      <c r="C312" s="364"/>
      <c r="D312" s="365"/>
      <c r="E312" s="365"/>
      <c r="F312" s="365"/>
      <c r="G312" s="366"/>
      <c r="H312" s="367"/>
      <c r="I312" s="367"/>
      <c r="J312" s="367"/>
      <c r="K312" s="367"/>
      <c r="L312" s="530">
        <f>L$310/L$271*L273</f>
        <v>0</v>
      </c>
      <c r="M312" s="530">
        <f t="shared" ref="M312:Y312" si="74">M$310/M$271*M273</f>
        <v>0</v>
      </c>
      <c r="N312" s="530">
        <f t="shared" si="74"/>
        <v>0</v>
      </c>
      <c r="O312" s="530">
        <f t="shared" si="74"/>
        <v>0</v>
      </c>
      <c r="P312" s="530">
        <f t="shared" si="74"/>
        <v>0</v>
      </c>
      <c r="Q312" s="530">
        <f t="shared" si="74"/>
        <v>0</v>
      </c>
      <c r="R312" s="530">
        <f t="shared" si="74"/>
        <v>0</v>
      </c>
      <c r="S312" s="530">
        <f t="shared" si="74"/>
        <v>0</v>
      </c>
      <c r="T312" s="530">
        <f t="shared" si="74"/>
        <v>0</v>
      </c>
      <c r="U312" s="530">
        <f t="shared" si="74"/>
        <v>0</v>
      </c>
      <c r="V312" s="530">
        <f t="shared" si="74"/>
        <v>0</v>
      </c>
      <c r="W312" s="530">
        <f t="shared" si="74"/>
        <v>0</v>
      </c>
      <c r="X312" s="530">
        <f t="shared" si="74"/>
        <v>0</v>
      </c>
      <c r="Y312" s="530">
        <f t="shared" si="74"/>
        <v>0</v>
      </c>
      <c r="Z312" s="444"/>
      <c r="AA312" s="444"/>
      <c r="AB312" s="444"/>
      <c r="AC312" s="444"/>
      <c r="AD312" s="444"/>
      <c r="AE312" s="444"/>
      <c r="AF312" s="444"/>
      <c r="AG312" s="444"/>
      <c r="AH312" s="444"/>
      <c r="AI312" s="444"/>
      <c r="AJ312" s="444"/>
      <c r="AK312" s="444"/>
      <c r="AL312" s="444"/>
      <c r="AM312" s="444"/>
      <c r="AN312" s="362" t="e">
        <f>#REF!-#REF!</f>
        <v>#REF!</v>
      </c>
      <c r="AO312" s="363" t="e">
        <f>#REF!/#REF!-100%</f>
        <v>#REF!</v>
      </c>
    </row>
    <row r="313" spans="1:41" s="343" customFormat="1" ht="12" customHeight="1" x14ac:dyDescent="0.2">
      <c r="A313" s="357" t="s">
        <v>421</v>
      </c>
      <c r="B313" s="261" t="s">
        <v>1041</v>
      </c>
      <c r="C313" s="364"/>
      <c r="D313" s="365"/>
      <c r="E313" s="365"/>
      <c r="F313" s="365"/>
      <c r="G313" s="366"/>
      <c r="H313" s="367"/>
      <c r="I313" s="367"/>
      <c r="J313" s="367"/>
      <c r="K313" s="367"/>
      <c r="L313" s="530">
        <f t="shared" ref="L313:Y318" si="75">L$310/L$271*L274</f>
        <v>0.93402101420779571</v>
      </c>
      <c r="M313" s="530">
        <f t="shared" si="75"/>
        <v>0.99489490742450126</v>
      </c>
      <c r="N313" s="530">
        <f t="shared" si="75"/>
        <v>1.0612259323917514</v>
      </c>
      <c r="O313" s="530">
        <f t="shared" si="75"/>
        <v>1.2204989508054169</v>
      </c>
      <c r="P313" s="530">
        <f t="shared" si="75"/>
        <v>1.2915678603249574</v>
      </c>
      <c r="Q313" s="530">
        <f t="shared" si="75"/>
        <v>1.3662573215108045</v>
      </c>
      <c r="R313" s="530">
        <f t="shared" si="75"/>
        <v>1.4835692673212315</v>
      </c>
      <c r="S313" s="530">
        <f t="shared" si="75"/>
        <v>1.687250183532212</v>
      </c>
      <c r="T313" s="530">
        <f t="shared" si="75"/>
        <v>1.808685127829833</v>
      </c>
      <c r="U313" s="530">
        <f t="shared" si="75"/>
        <v>1.8267719791081369</v>
      </c>
      <c r="V313" s="530">
        <f t="shared" si="75"/>
        <v>1.9345802595023862</v>
      </c>
      <c r="W313" s="530">
        <f t="shared" si="75"/>
        <v>1.9539260620974142</v>
      </c>
      <c r="X313" s="530">
        <f t="shared" si="75"/>
        <v>2.047814059105681</v>
      </c>
      <c r="Y313" s="530">
        <f t="shared" si="75"/>
        <v>2.0682921996967512</v>
      </c>
      <c r="Z313" s="444"/>
      <c r="AA313" s="444"/>
      <c r="AB313" s="444"/>
      <c r="AC313" s="444"/>
      <c r="AD313" s="444"/>
      <c r="AE313" s="444"/>
      <c r="AF313" s="444"/>
      <c r="AG313" s="444"/>
      <c r="AH313" s="444"/>
      <c r="AI313" s="444"/>
      <c r="AJ313" s="444"/>
      <c r="AK313" s="444"/>
      <c r="AL313" s="444"/>
      <c r="AM313" s="444"/>
      <c r="AN313" s="362" t="e">
        <f>#REF!-#REF!</f>
        <v>#REF!</v>
      </c>
      <c r="AO313" s="363" t="e">
        <f>#REF!/#REF!-100%</f>
        <v>#REF!</v>
      </c>
    </row>
    <row r="314" spans="1:41" s="343" customFormat="1" ht="18" x14ac:dyDescent="0.2">
      <c r="A314" s="357" t="s">
        <v>435</v>
      </c>
      <c r="B314" s="261" t="s">
        <v>1041</v>
      </c>
      <c r="C314" s="364"/>
      <c r="D314" s="365"/>
      <c r="E314" s="365"/>
      <c r="F314" s="365"/>
      <c r="G314" s="366"/>
      <c r="H314" s="367"/>
      <c r="I314" s="367"/>
      <c r="J314" s="367"/>
      <c r="K314" s="367"/>
      <c r="L314" s="530">
        <f t="shared" si="75"/>
        <v>0.11725643325087468</v>
      </c>
      <c r="M314" s="530">
        <f t="shared" si="75"/>
        <v>0.1248985049902772</v>
      </c>
      <c r="N314" s="530">
        <f t="shared" si="75"/>
        <v>0.13322566174930503</v>
      </c>
      <c r="O314" s="530">
        <f t="shared" si="75"/>
        <v>0.15322070015658054</v>
      </c>
      <c r="P314" s="530">
        <f t="shared" si="75"/>
        <v>0.1621426480769477</v>
      </c>
      <c r="Q314" s="530">
        <f t="shared" si="75"/>
        <v>0.17151911786388302</v>
      </c>
      <c r="R314" s="530">
        <f t="shared" si="75"/>
        <v>0.18624638859356521</v>
      </c>
      <c r="S314" s="530">
        <f t="shared" si="75"/>
        <v>0.2118163676335191</v>
      </c>
      <c r="T314" s="530">
        <f t="shared" si="75"/>
        <v>0.22706123709979631</v>
      </c>
      <c r="U314" s="530">
        <f t="shared" si="75"/>
        <v>0.22933184947079496</v>
      </c>
      <c r="V314" s="530">
        <f t="shared" si="75"/>
        <v>0.24286603579171165</v>
      </c>
      <c r="W314" s="530">
        <f t="shared" si="75"/>
        <v>0.24529469614962926</v>
      </c>
      <c r="X314" s="530">
        <f t="shared" si="75"/>
        <v>0.25708133851291232</v>
      </c>
      <c r="Y314" s="530">
        <f t="shared" si="75"/>
        <v>0.25965215189804308</v>
      </c>
      <c r="Z314" s="444"/>
      <c r="AA314" s="444"/>
      <c r="AB314" s="444"/>
      <c r="AC314" s="444"/>
      <c r="AD314" s="444"/>
      <c r="AE314" s="444"/>
      <c r="AF314" s="444"/>
      <c r="AG314" s="444"/>
      <c r="AH314" s="444"/>
      <c r="AI314" s="444"/>
      <c r="AJ314" s="444"/>
      <c r="AK314" s="444"/>
      <c r="AL314" s="444"/>
      <c r="AM314" s="444"/>
      <c r="AN314" s="362" t="e">
        <f>#REF!-#REF!</f>
        <v>#REF!</v>
      </c>
      <c r="AO314" s="363" t="e">
        <f>#REF!/#REF!-100%</f>
        <v>#REF!</v>
      </c>
    </row>
    <row r="315" spans="1:41" s="343" customFormat="1" ht="9.75" x14ac:dyDescent="0.2">
      <c r="A315" s="357" t="s">
        <v>468</v>
      </c>
      <c r="B315" s="261" t="s">
        <v>1041</v>
      </c>
      <c r="C315" s="364"/>
      <c r="D315" s="365"/>
      <c r="E315" s="365"/>
      <c r="F315" s="365"/>
      <c r="G315" s="366"/>
      <c r="H315" s="367"/>
      <c r="I315" s="367"/>
      <c r="J315" s="367"/>
      <c r="K315" s="367"/>
      <c r="L315" s="530">
        <f t="shared" si="75"/>
        <v>1.3911382478499483</v>
      </c>
      <c r="M315" s="530">
        <f t="shared" si="75"/>
        <v>1.4818043033895214</v>
      </c>
      <c r="N315" s="530">
        <f t="shared" si="75"/>
        <v>1.5805982538974728</v>
      </c>
      <c r="O315" s="530">
        <f t="shared" si="75"/>
        <v>1.8178207407530687</v>
      </c>
      <c r="P315" s="530">
        <f t="shared" si="75"/>
        <v>1.9236713337929645</v>
      </c>
      <c r="Q315" s="530">
        <f t="shared" si="75"/>
        <v>2.0349144049727528</v>
      </c>
      <c r="R315" s="530">
        <f t="shared" si="75"/>
        <v>2.2096397401248784</v>
      </c>
      <c r="S315" s="530">
        <f t="shared" si="75"/>
        <v>2.5130036993807003</v>
      </c>
      <c r="T315" s="530">
        <f t="shared" si="75"/>
        <v>2.6938698609212217</v>
      </c>
      <c r="U315" s="530">
        <f t="shared" si="75"/>
        <v>2.7208085595304419</v>
      </c>
      <c r="V315" s="530">
        <f t="shared" si="75"/>
        <v>2.8813790606326859</v>
      </c>
      <c r="W315" s="530">
        <f t="shared" si="75"/>
        <v>2.9101928512390187</v>
      </c>
      <c r="X315" s="530">
        <f t="shared" si="75"/>
        <v>3.0500303727352578</v>
      </c>
      <c r="Y315" s="530">
        <f t="shared" si="75"/>
        <v>3.0805306764626295</v>
      </c>
      <c r="Z315" s="444"/>
      <c r="AA315" s="444"/>
      <c r="AB315" s="444"/>
      <c r="AC315" s="444"/>
      <c r="AD315" s="444"/>
      <c r="AE315" s="444"/>
      <c r="AF315" s="444"/>
      <c r="AG315" s="444"/>
      <c r="AH315" s="444"/>
      <c r="AI315" s="444"/>
      <c r="AJ315" s="444"/>
      <c r="AK315" s="444"/>
      <c r="AL315" s="444"/>
      <c r="AM315" s="444"/>
      <c r="AN315" s="362" t="e">
        <f>#REF!-#REF!</f>
        <v>#REF!</v>
      </c>
      <c r="AO315" s="363" t="e">
        <f>#REF!/#REF!-100%</f>
        <v>#REF!</v>
      </c>
    </row>
    <row r="316" spans="1:41" s="343" customFormat="1" ht="27" x14ac:dyDescent="0.2">
      <c r="A316" s="357" t="s">
        <v>422</v>
      </c>
      <c r="B316" s="261" t="s">
        <v>1041</v>
      </c>
      <c r="C316" s="364"/>
      <c r="D316" s="365"/>
      <c r="E316" s="365"/>
      <c r="F316" s="365"/>
      <c r="G316" s="366"/>
      <c r="H316" s="367"/>
      <c r="I316" s="367"/>
      <c r="J316" s="367"/>
      <c r="K316" s="367"/>
      <c r="L316" s="530">
        <f t="shared" si="75"/>
        <v>1.5047299413741386</v>
      </c>
      <c r="M316" s="530">
        <f t="shared" si="75"/>
        <v>1.602799222876204</v>
      </c>
      <c r="N316" s="530">
        <f t="shared" si="75"/>
        <v>1.7096600726772253</v>
      </c>
      <c r="O316" s="530">
        <f t="shared" si="75"/>
        <v>1.9662526717884463</v>
      </c>
      <c r="P316" s="530">
        <f t="shared" si="75"/>
        <v>2.0807463656434662</v>
      </c>
      <c r="Q316" s="530">
        <f t="shared" si="75"/>
        <v>2.2010728538507669</v>
      </c>
      <c r="R316" s="530">
        <f t="shared" si="75"/>
        <v>2.3900651727136681</v>
      </c>
      <c r="S316" s="530">
        <f t="shared" si="75"/>
        <v>2.7181999453227501</v>
      </c>
      <c r="T316" s="530">
        <f t="shared" si="75"/>
        <v>2.9138345122481137</v>
      </c>
      <c r="U316" s="530">
        <f t="shared" si="75"/>
        <v>2.942972857370604</v>
      </c>
      <c r="V316" s="530">
        <f t="shared" si="75"/>
        <v>3.1166545465078412</v>
      </c>
      <c r="W316" s="530">
        <f t="shared" si="75"/>
        <v>3.1478210919729261</v>
      </c>
      <c r="X316" s="530">
        <f t="shared" si="75"/>
        <v>3.2990768753921142</v>
      </c>
      <c r="Y316" s="530">
        <f t="shared" si="75"/>
        <v>3.3320676441460568</v>
      </c>
      <c r="Z316" s="444"/>
      <c r="AA316" s="444"/>
      <c r="AB316" s="444"/>
      <c r="AC316" s="444"/>
      <c r="AD316" s="444"/>
      <c r="AE316" s="444"/>
      <c r="AF316" s="444"/>
      <c r="AG316" s="444"/>
      <c r="AH316" s="444"/>
      <c r="AI316" s="444"/>
      <c r="AJ316" s="444"/>
      <c r="AK316" s="444"/>
      <c r="AL316" s="444"/>
      <c r="AM316" s="444"/>
      <c r="AN316" s="362" t="e">
        <f>#REF!-#REF!</f>
        <v>#REF!</v>
      </c>
      <c r="AO316" s="363" t="e">
        <f>#REF!/#REF!-100%</f>
        <v>#REF!</v>
      </c>
    </row>
    <row r="317" spans="1:41" s="343" customFormat="1" ht="9.75" x14ac:dyDescent="0.2">
      <c r="A317" s="357" t="s">
        <v>423</v>
      </c>
      <c r="B317" s="261" t="s">
        <v>1041</v>
      </c>
      <c r="C317" s="364"/>
      <c r="D317" s="365"/>
      <c r="E317" s="365"/>
      <c r="F317" s="365"/>
      <c r="G317" s="366"/>
      <c r="H317" s="367"/>
      <c r="I317" s="367"/>
      <c r="J317" s="367"/>
      <c r="K317" s="367"/>
      <c r="L317" s="530">
        <f t="shared" si="75"/>
        <v>0.69950814770604641</v>
      </c>
      <c r="M317" s="530">
        <f t="shared" si="75"/>
        <v>0.74509789744394683</v>
      </c>
      <c r="N317" s="530">
        <f t="shared" si="75"/>
        <v>0.79477460889314144</v>
      </c>
      <c r="O317" s="530">
        <f t="shared" si="75"/>
        <v>0.9140575504922559</v>
      </c>
      <c r="P317" s="530">
        <f t="shared" si="75"/>
        <v>0.96728256417106229</v>
      </c>
      <c r="Q317" s="530">
        <f t="shared" si="75"/>
        <v>1.0232190857830386</v>
      </c>
      <c r="R317" s="530">
        <f t="shared" si="75"/>
        <v>1.1110764901341013</v>
      </c>
      <c r="S317" s="530">
        <f t="shared" si="75"/>
        <v>1.2636174482651739</v>
      </c>
      <c r="T317" s="530">
        <f t="shared" si="75"/>
        <v>1.3545626536302406</v>
      </c>
      <c r="U317" s="530">
        <f t="shared" si="75"/>
        <v>1.3681082801665472</v>
      </c>
      <c r="V317" s="530">
        <f t="shared" si="75"/>
        <v>1.4488481879189632</v>
      </c>
      <c r="W317" s="530">
        <f t="shared" si="75"/>
        <v>1.463336669798156</v>
      </c>
      <c r="X317" s="530">
        <f t="shared" si="75"/>
        <v>1.533651382079857</v>
      </c>
      <c r="Y317" s="530">
        <f t="shared" si="75"/>
        <v>1.5489878959006651</v>
      </c>
      <c r="Z317" s="444"/>
      <c r="AA317" s="444"/>
      <c r="AB317" s="444"/>
      <c r="AC317" s="444"/>
      <c r="AD317" s="444"/>
      <c r="AE317" s="444"/>
      <c r="AF317" s="444"/>
      <c r="AG317" s="444"/>
      <c r="AH317" s="444"/>
      <c r="AI317" s="444"/>
      <c r="AJ317" s="444"/>
      <c r="AK317" s="444"/>
      <c r="AL317" s="444"/>
      <c r="AM317" s="444"/>
      <c r="AN317" s="362" t="e">
        <f>#REF!-#REF!</f>
        <v>#REF!</v>
      </c>
      <c r="AO317" s="363" t="e">
        <f>#REF!/#REF!-100%</f>
        <v>#REF!</v>
      </c>
    </row>
    <row r="318" spans="1:41" s="343" customFormat="1" ht="18" x14ac:dyDescent="0.2">
      <c r="A318" s="357" t="s">
        <v>245</v>
      </c>
      <c r="B318" s="261" t="s">
        <v>1041</v>
      </c>
      <c r="C318" s="364"/>
      <c r="D318" s="365"/>
      <c r="E318" s="365"/>
      <c r="F318" s="365"/>
      <c r="G318" s="366"/>
      <c r="H318" s="367"/>
      <c r="I318" s="367"/>
      <c r="J318" s="367"/>
      <c r="K318" s="367"/>
      <c r="L318" s="530">
        <f t="shared" si="75"/>
        <v>1.5008823456111957</v>
      </c>
      <c r="M318" s="530">
        <f t="shared" si="75"/>
        <v>1.5987008638755482</v>
      </c>
      <c r="N318" s="530">
        <f t="shared" si="75"/>
        <v>1.7052884703911044</v>
      </c>
      <c r="O318" s="530">
        <f t="shared" si="75"/>
        <v>1.961224962004231</v>
      </c>
      <c r="P318" s="530">
        <f t="shared" si="75"/>
        <v>2.0754258953849303</v>
      </c>
      <c r="Q318" s="530">
        <f t="shared" si="75"/>
        <v>2.1954447086577025</v>
      </c>
      <c r="R318" s="530">
        <f t="shared" si="75"/>
        <v>2.3839537739976344</v>
      </c>
      <c r="S318" s="530">
        <f t="shared" si="75"/>
        <v>2.7112495057090444</v>
      </c>
      <c r="T318" s="530">
        <f t="shared" si="75"/>
        <v>2.9063838348773929</v>
      </c>
      <c r="U318" s="530">
        <f t="shared" si="75"/>
        <v>2.9354476732261756</v>
      </c>
      <c r="V318" s="530">
        <f t="shared" si="75"/>
        <v>3.1086852581339093</v>
      </c>
      <c r="W318" s="530">
        <f t="shared" si="75"/>
        <v>3.139772110715255</v>
      </c>
      <c r="X318" s="530">
        <f t="shared" si="75"/>
        <v>3.2906411329652774</v>
      </c>
      <c r="Y318" s="530">
        <f t="shared" si="75"/>
        <v>3.3235475442949509</v>
      </c>
      <c r="Z318" s="444"/>
      <c r="AA318" s="444"/>
      <c r="AB318" s="444"/>
      <c r="AC318" s="444"/>
      <c r="AD318" s="444"/>
      <c r="AE318" s="444"/>
      <c r="AF318" s="444"/>
      <c r="AG318" s="444"/>
      <c r="AH318" s="444"/>
      <c r="AI318" s="444"/>
      <c r="AJ318" s="444"/>
      <c r="AK318" s="444"/>
      <c r="AL318" s="444"/>
      <c r="AM318" s="444"/>
      <c r="AN318" s="362" t="e">
        <f>#REF!-#REF!</f>
        <v>#REF!</v>
      </c>
      <c r="AO318" s="363" t="e">
        <f>#REF!/#REF!-100%</f>
        <v>#REF!</v>
      </c>
    </row>
    <row r="319" spans="1:41" s="343" customFormat="1" ht="9.75" x14ac:dyDescent="0.2">
      <c r="A319" s="357" t="s">
        <v>446</v>
      </c>
      <c r="B319" s="261" t="s">
        <v>1041</v>
      </c>
      <c r="C319" s="364"/>
      <c r="D319" s="365"/>
      <c r="E319" s="365"/>
      <c r="F319" s="365"/>
      <c r="G319" s="366"/>
      <c r="H319" s="367"/>
      <c r="I319" s="367"/>
      <c r="J319" s="367"/>
      <c r="K319" s="367"/>
      <c r="L319" s="530"/>
      <c r="M319" s="530"/>
      <c r="N319" s="530"/>
      <c r="O319" s="530"/>
      <c r="P319" s="530"/>
      <c r="Q319" s="530"/>
      <c r="R319" s="530"/>
      <c r="S319" s="530"/>
      <c r="T319" s="530"/>
      <c r="U319" s="530"/>
      <c r="V319" s="530"/>
      <c r="W319" s="530"/>
      <c r="X319" s="530"/>
      <c r="Y319" s="530"/>
      <c r="Z319" s="444"/>
      <c r="AA319" s="444"/>
      <c r="AB319" s="444"/>
      <c r="AC319" s="444"/>
      <c r="AD319" s="444"/>
      <c r="AE319" s="444"/>
      <c r="AF319" s="444"/>
      <c r="AG319" s="444"/>
      <c r="AH319" s="444"/>
      <c r="AI319" s="444"/>
      <c r="AJ319" s="444"/>
      <c r="AK319" s="444"/>
      <c r="AL319" s="444"/>
      <c r="AM319" s="444"/>
      <c r="AN319" s="362" t="e">
        <f>#REF!-#REF!</f>
        <v>#REF!</v>
      </c>
      <c r="AO319" s="363" t="e">
        <f>#REF!/#REF!-100%</f>
        <v>#REF!</v>
      </c>
    </row>
    <row r="320" spans="1:41" x14ac:dyDescent="0.2">
      <c r="A320" s="357" t="s">
        <v>246</v>
      </c>
      <c r="B320" s="261" t="s">
        <v>1041</v>
      </c>
      <c r="C320" s="282"/>
      <c r="D320" s="293"/>
      <c r="E320" s="293"/>
      <c r="F320" s="293"/>
      <c r="G320" s="294"/>
      <c r="H320" s="280"/>
      <c r="I320" s="280"/>
      <c r="J320" s="280"/>
      <c r="K320" s="280"/>
      <c r="L320" s="530">
        <f t="shared" ref="L320:Y320" si="76">L$310/L$271*L291</f>
        <v>0</v>
      </c>
      <c r="M320" s="530">
        <f t="shared" si="76"/>
        <v>0</v>
      </c>
      <c r="N320" s="530">
        <f t="shared" si="76"/>
        <v>0</v>
      </c>
      <c r="O320" s="530">
        <f t="shared" si="76"/>
        <v>0</v>
      </c>
      <c r="P320" s="530">
        <f t="shared" si="76"/>
        <v>0</v>
      </c>
      <c r="Q320" s="530">
        <f t="shared" si="76"/>
        <v>0</v>
      </c>
      <c r="R320" s="530">
        <f t="shared" si="76"/>
        <v>0</v>
      </c>
      <c r="S320" s="530">
        <f t="shared" si="76"/>
        <v>0</v>
      </c>
      <c r="T320" s="530">
        <f t="shared" si="76"/>
        <v>0</v>
      </c>
      <c r="U320" s="530">
        <f t="shared" si="76"/>
        <v>0</v>
      </c>
      <c r="V320" s="530">
        <f t="shared" si="76"/>
        <v>0</v>
      </c>
      <c r="W320" s="530">
        <f t="shared" si="76"/>
        <v>0</v>
      </c>
      <c r="X320" s="530">
        <f t="shared" si="76"/>
        <v>0</v>
      </c>
      <c r="Y320" s="530">
        <f t="shared" si="76"/>
        <v>0</v>
      </c>
      <c r="Z320" s="444"/>
      <c r="AN320" s="316">
        <f>Q321-P321</f>
        <v>0</v>
      </c>
      <c r="AO320" s="323" t="e">
        <f>Q321/P321-100%</f>
        <v>#DIV/0!</v>
      </c>
    </row>
    <row r="321" spans="1:41" ht="21" customHeight="1" x14ac:dyDescent="0.2">
      <c r="A321" s="292" t="s">
        <v>93</v>
      </c>
      <c r="B321" s="261"/>
      <c r="C321" s="282">
        <v>1</v>
      </c>
      <c r="D321" s="293"/>
      <c r="E321" s="293"/>
      <c r="F321" s="293"/>
      <c r="G321" s="294" t="s">
        <v>705</v>
      </c>
      <c r="H321" s="280"/>
      <c r="I321" s="280"/>
      <c r="J321" s="280"/>
      <c r="K321" s="280"/>
      <c r="L321" s="281"/>
      <c r="M321" s="281"/>
      <c r="N321" s="281"/>
      <c r="O321" s="281"/>
      <c r="P321" s="313"/>
      <c r="Q321" s="313"/>
      <c r="R321" s="531"/>
      <c r="S321" s="313"/>
      <c r="T321" s="313"/>
      <c r="U321" s="313"/>
      <c r="V321" s="313"/>
      <c r="W321" s="313"/>
      <c r="X321" s="313"/>
      <c r="Y321" s="313"/>
      <c r="AN321" s="316">
        <f>Q333-P333</f>
        <v>9.3840000000000034E-3</v>
      </c>
      <c r="AO321" s="323">
        <f>Q333/P333-100%</f>
        <v>0.10000000000000009</v>
      </c>
    </row>
    <row r="322" spans="1:41" s="356" customFormat="1" ht="39.75" customHeight="1" x14ac:dyDescent="0.2">
      <c r="A322" s="401" t="s">
        <v>1042</v>
      </c>
      <c r="B322" s="402" t="s">
        <v>1043</v>
      </c>
      <c r="C322" s="348">
        <v>1</v>
      </c>
      <c r="D322" s="349"/>
      <c r="E322" s="349"/>
      <c r="F322" s="349"/>
      <c r="G322" s="350" t="s">
        <v>704</v>
      </c>
      <c r="H322" s="351"/>
      <c r="I322" s="351"/>
      <c r="J322" s="351"/>
      <c r="K322" s="351"/>
      <c r="L322" s="532">
        <v>3360</v>
      </c>
      <c r="M322" s="532">
        <v>3637.59</v>
      </c>
      <c r="N322" s="532">
        <v>7798.9775</v>
      </c>
      <c r="O322" s="532">
        <v>18301.54076</v>
      </c>
      <c r="P322" s="532">
        <v>17483.980030399998</v>
      </c>
      <c r="Q322" s="532">
        <v>10826.988012224001</v>
      </c>
      <c r="R322" s="532">
        <v>7069.4909546273921</v>
      </c>
      <c r="S322" s="532">
        <v>5343.8503494724364</v>
      </c>
      <c r="T322" s="532">
        <v>3730.8899688256051</v>
      </c>
      <c r="U322" s="322">
        <f>S322*U323/100*U324/100</f>
        <v>3771.7107034332598</v>
      </c>
      <c r="V322" s="532">
        <v>3973.3978167992691</v>
      </c>
      <c r="W322" s="322">
        <f>U322*W323/100*W324/100</f>
        <v>4060.8500459584529</v>
      </c>
      <c r="X322" s="532">
        <v>4219.7484814408244</v>
      </c>
      <c r="Y322" s="322">
        <f>W322*Y323/100*Y324/100</f>
        <v>4363.9518933887939</v>
      </c>
      <c r="Z322" s="267" t="s">
        <v>244</v>
      </c>
      <c r="AA322" s="439"/>
      <c r="AB322" s="439"/>
      <c r="AC322" s="439"/>
      <c r="AD322" s="439"/>
      <c r="AE322" s="439"/>
      <c r="AF322" s="439"/>
      <c r="AG322" s="439"/>
      <c r="AH322" s="439"/>
      <c r="AI322" s="439"/>
      <c r="AJ322" s="439"/>
      <c r="AK322" s="439"/>
      <c r="AL322" s="439"/>
      <c r="AM322" s="439"/>
      <c r="AN322" s="354">
        <f>Q334-P334</f>
        <v>8.2679669281322816</v>
      </c>
      <c r="AO322" s="355">
        <f>Q334/P334-100%</f>
        <v>8.6570477247502664E-2</v>
      </c>
    </row>
    <row r="323" spans="1:41" ht="21" x14ac:dyDescent="0.2">
      <c r="A323" s="263" t="s">
        <v>670</v>
      </c>
      <c r="B323" s="399" t="s">
        <v>907</v>
      </c>
      <c r="C323" s="282">
        <v>1</v>
      </c>
      <c r="D323" s="293"/>
      <c r="E323" s="293"/>
      <c r="F323" s="293"/>
      <c r="G323" s="294" t="s">
        <v>705</v>
      </c>
      <c r="H323" s="280"/>
      <c r="I323" s="280"/>
      <c r="J323" s="280"/>
      <c r="K323" s="280"/>
      <c r="L323" s="305">
        <v>180.7</v>
      </c>
      <c r="M323" s="305">
        <f t="shared" ref="M323:T323" si="77">M322/(M$327/100)/L322*100</f>
        <v>103.10629251700681</v>
      </c>
      <c r="N323" s="305">
        <f t="shared" si="77"/>
        <v>198.70210842755654</v>
      </c>
      <c r="O323" s="305">
        <f t="shared" si="77"/>
        <v>215.68557007482519</v>
      </c>
      <c r="P323" s="305">
        <f t="shared" si="77"/>
        <v>89.450216423890794</v>
      </c>
      <c r="Q323" s="533">
        <f t="shared" si="77"/>
        <v>58.419991423085072</v>
      </c>
      <c r="R323" s="533">
        <f t="shared" si="77"/>
        <v>63.209181360319057</v>
      </c>
      <c r="S323" s="533">
        <f t="shared" si="77"/>
        <v>69.60433990095855</v>
      </c>
      <c r="T323" s="533">
        <f t="shared" si="77"/>
        <v>65.066647627487797</v>
      </c>
      <c r="U323" s="353">
        <f>T323*1.01</f>
        <v>65.717314103762675</v>
      </c>
      <c r="V323" s="533">
        <f>V322/(V$327/100)/T322*100</f>
        <v>100</v>
      </c>
      <c r="W323" s="353">
        <f>V323*1.01</f>
        <v>101</v>
      </c>
      <c r="X323" s="533">
        <f>X322/(X$327/100)/V322*100</f>
        <v>100.00000000000003</v>
      </c>
      <c r="Y323" s="353">
        <f>X323*1.01</f>
        <v>101.00000000000003</v>
      </c>
      <c r="Z323" s="438"/>
      <c r="AN323" s="316">
        <f>Q335-P335</f>
        <v>0</v>
      </c>
      <c r="AO323" s="323" t="e">
        <f>Q335/P335-100%</f>
        <v>#DIV/0!</v>
      </c>
    </row>
    <row r="324" spans="1:41" s="356" customFormat="1" ht="11.25" x14ac:dyDescent="0.2">
      <c r="A324" s="263" t="s">
        <v>671</v>
      </c>
      <c r="B324" s="399" t="s">
        <v>898</v>
      </c>
      <c r="C324" s="348">
        <v>1</v>
      </c>
      <c r="D324" s="349"/>
      <c r="E324" s="349"/>
      <c r="F324" s="349"/>
      <c r="G324" s="350" t="s">
        <v>704</v>
      </c>
      <c r="H324" s="351"/>
      <c r="I324" s="351"/>
      <c r="J324" s="351"/>
      <c r="K324" s="351"/>
      <c r="L324" s="534">
        <v>119.4</v>
      </c>
      <c r="M324" s="534">
        <v>105</v>
      </c>
      <c r="N324" s="534">
        <v>107.9</v>
      </c>
      <c r="O324" s="534">
        <v>108.8</v>
      </c>
      <c r="P324" s="535">
        <v>106.8</v>
      </c>
      <c r="Q324" s="536">
        <v>106</v>
      </c>
      <c r="R324" s="536">
        <v>103.3</v>
      </c>
      <c r="S324" s="536">
        <v>108.6</v>
      </c>
      <c r="T324" s="536">
        <v>107.3</v>
      </c>
      <c r="U324" s="536">
        <v>107.4</v>
      </c>
      <c r="V324" s="536">
        <v>106.5</v>
      </c>
      <c r="W324" s="536">
        <v>106.6</v>
      </c>
      <c r="X324" s="537">
        <v>106.2</v>
      </c>
      <c r="Y324" s="537">
        <v>106.4</v>
      </c>
      <c r="Z324" s="438"/>
      <c r="AA324" s="439"/>
      <c r="AB324" s="439"/>
      <c r="AC324" s="439"/>
      <c r="AD324" s="439"/>
      <c r="AE324" s="439"/>
      <c r="AF324" s="439"/>
      <c r="AG324" s="439"/>
      <c r="AH324" s="439"/>
      <c r="AI324" s="439"/>
      <c r="AJ324" s="439"/>
      <c r="AK324" s="439"/>
      <c r="AL324" s="439"/>
      <c r="AM324" s="439"/>
      <c r="AN324" s="354">
        <f>Q336-P336</f>
        <v>0</v>
      </c>
      <c r="AO324" s="355" t="e">
        <f>Q336/P336-100%</f>
        <v>#DIV/0!</v>
      </c>
    </row>
    <row r="325" spans="1:41" ht="73.5" x14ac:dyDescent="0.2">
      <c r="A325" s="264" t="s">
        <v>275</v>
      </c>
      <c r="B325" s="469" t="s">
        <v>345</v>
      </c>
      <c r="C325" s="282">
        <v>1</v>
      </c>
      <c r="D325" s="293"/>
      <c r="E325" s="293"/>
      <c r="F325" s="293"/>
      <c r="G325" s="294" t="s">
        <v>705</v>
      </c>
      <c r="H325" s="280"/>
      <c r="I325" s="280"/>
      <c r="J325" s="280"/>
      <c r="K325" s="280"/>
      <c r="L325" s="437">
        <v>2930.9189999999999</v>
      </c>
      <c r="M325" s="437">
        <v>3284.1579999999999</v>
      </c>
      <c r="N325" s="437">
        <v>7407.7209999999995</v>
      </c>
      <c r="O325" s="437">
        <v>17894.633999999998</v>
      </c>
      <c r="P325" s="437">
        <v>17060.796999999999</v>
      </c>
      <c r="Q325" s="437">
        <v>10378.414000000001</v>
      </c>
      <c r="R325" s="437">
        <v>6606.1139999999996</v>
      </c>
      <c r="S325" s="437">
        <v>4840.6229767470886</v>
      </c>
      <c r="T325" s="437">
        <v>3190.9269978913067</v>
      </c>
      <c r="U325" s="322">
        <f>S325*U326/100*U327/100</f>
        <v>3225.8398431431651</v>
      </c>
      <c r="V325" s="437">
        <v>3398.3372527542415</v>
      </c>
      <c r="W325" s="322">
        <f>U325*W326/100*W327/100</f>
        <v>3473.1327255185197</v>
      </c>
      <c r="X325" s="437">
        <v>3609.034162425005</v>
      </c>
      <c r="Y325" s="322">
        <f>W325*Y326/100*Y327/100</f>
        <v>3732.3673521512233</v>
      </c>
      <c r="Z325" s="390" t="s">
        <v>244</v>
      </c>
      <c r="AN325" s="316">
        <f t="shared" ref="AN325:AN374" si="78">Q337-P337</f>
        <v>9.3840000000000034E-3</v>
      </c>
      <c r="AO325" s="323">
        <f t="shared" ref="AO325:AO374" si="79">Q337/P337-100%</f>
        <v>0.10000000000000009</v>
      </c>
    </row>
    <row r="326" spans="1:41" s="356" customFormat="1" ht="21" x14ac:dyDescent="0.2">
      <c r="A326" s="263" t="s">
        <v>670</v>
      </c>
      <c r="B326" s="399" t="s">
        <v>907</v>
      </c>
      <c r="C326" s="348">
        <v>1</v>
      </c>
      <c r="D326" s="349"/>
      <c r="E326" s="349"/>
      <c r="F326" s="349"/>
      <c r="G326" s="350" t="s">
        <v>704</v>
      </c>
      <c r="H326" s="351"/>
      <c r="I326" s="351"/>
      <c r="J326" s="351"/>
      <c r="K326" s="351"/>
      <c r="L326" s="305"/>
      <c r="M326" s="305">
        <f t="shared" ref="M326:T326" si="80">M325/(M$327/100)/L325*100</f>
        <v>106.71634131852581</v>
      </c>
      <c r="N326" s="305">
        <f t="shared" si="80"/>
        <v>209.04468477603379</v>
      </c>
      <c r="O326" s="305">
        <f t="shared" si="80"/>
        <v>222.02879802112986</v>
      </c>
      <c r="P326" s="305">
        <f t="shared" si="80"/>
        <v>89.269939950809984</v>
      </c>
      <c r="Q326" s="305">
        <f t="shared" si="80"/>
        <v>57.388623777503398</v>
      </c>
      <c r="R326" s="305">
        <f t="shared" si="80"/>
        <v>61.61901496975041</v>
      </c>
      <c r="S326" s="305">
        <f t="shared" si="80"/>
        <v>67.472277328229239</v>
      </c>
      <c r="T326" s="305">
        <f t="shared" si="80"/>
        <v>61.435003680137534</v>
      </c>
      <c r="U326" s="353">
        <f>T326*1.01</f>
        <v>62.04935371693891</v>
      </c>
      <c r="V326" s="305">
        <f>V325/(V$327/100)/T325*100</f>
        <v>100</v>
      </c>
      <c r="W326" s="353">
        <f>V326*1.01</f>
        <v>101</v>
      </c>
      <c r="X326" s="305">
        <f>X325/(X$327/100)/V325*100</f>
        <v>100.00000000000003</v>
      </c>
      <c r="Y326" s="353">
        <f>X326*1.01</f>
        <v>101.00000000000003</v>
      </c>
      <c r="Z326" s="438"/>
      <c r="AA326" s="439"/>
      <c r="AB326" s="439"/>
      <c r="AC326" s="439"/>
      <c r="AD326" s="439"/>
      <c r="AE326" s="439"/>
      <c r="AF326" s="439"/>
      <c r="AG326" s="439"/>
      <c r="AH326" s="439"/>
      <c r="AI326" s="439"/>
      <c r="AJ326" s="439"/>
      <c r="AK326" s="439"/>
      <c r="AL326" s="439"/>
      <c r="AM326" s="439"/>
      <c r="AN326" s="354">
        <f t="shared" si="78"/>
        <v>8.2679669281322816</v>
      </c>
      <c r="AO326" s="355">
        <f t="shared" si="79"/>
        <v>8.6570477247502664E-2</v>
      </c>
    </row>
    <row r="327" spans="1:41" x14ac:dyDescent="0.2">
      <c r="A327" s="263" t="s">
        <v>671</v>
      </c>
      <c r="B327" s="399" t="s">
        <v>898</v>
      </c>
      <c r="C327" s="282">
        <v>1</v>
      </c>
      <c r="D327" s="293"/>
      <c r="E327" s="293"/>
      <c r="F327" s="293"/>
      <c r="G327" s="294" t="s">
        <v>705</v>
      </c>
      <c r="H327" s="280"/>
      <c r="I327" s="280"/>
      <c r="J327" s="280"/>
      <c r="K327" s="280"/>
      <c r="L327" s="305">
        <f>L324</f>
        <v>119.4</v>
      </c>
      <c r="M327" s="305">
        <f t="shared" ref="M327:Y327" si="81">M324</f>
        <v>105</v>
      </c>
      <c r="N327" s="305">
        <f t="shared" si="81"/>
        <v>107.9</v>
      </c>
      <c r="O327" s="305">
        <f t="shared" si="81"/>
        <v>108.8</v>
      </c>
      <c r="P327" s="326">
        <f t="shared" si="81"/>
        <v>106.8</v>
      </c>
      <c r="Q327" s="326">
        <f t="shared" si="81"/>
        <v>106</v>
      </c>
      <c r="R327" s="326">
        <f t="shared" si="81"/>
        <v>103.3</v>
      </c>
      <c r="S327" s="326">
        <f t="shared" si="81"/>
        <v>108.6</v>
      </c>
      <c r="T327" s="326">
        <f t="shared" si="81"/>
        <v>107.3</v>
      </c>
      <c r="U327" s="326">
        <f t="shared" si="81"/>
        <v>107.4</v>
      </c>
      <c r="V327" s="326">
        <f t="shared" si="81"/>
        <v>106.5</v>
      </c>
      <c r="W327" s="326">
        <f t="shared" si="81"/>
        <v>106.6</v>
      </c>
      <c r="X327" s="326">
        <f t="shared" si="81"/>
        <v>106.2</v>
      </c>
      <c r="Y327" s="326">
        <f t="shared" si="81"/>
        <v>106.4</v>
      </c>
      <c r="Z327" s="438"/>
      <c r="AN327" s="316">
        <f t="shared" si="78"/>
        <v>25.067000000000007</v>
      </c>
      <c r="AO327" s="323">
        <f t="shared" si="79"/>
        <v>6.2294356802751638E-2</v>
      </c>
    </row>
    <row r="328" spans="1:41" s="356" customFormat="1" ht="84" x14ac:dyDescent="0.2">
      <c r="A328" s="264" t="s">
        <v>113</v>
      </c>
      <c r="B328" s="469"/>
      <c r="C328" s="348">
        <v>1</v>
      </c>
      <c r="D328" s="349"/>
      <c r="E328" s="349"/>
      <c r="F328" s="349"/>
      <c r="G328" s="350" t="s">
        <v>704</v>
      </c>
      <c r="H328" s="351"/>
      <c r="I328" s="351"/>
      <c r="J328" s="351"/>
      <c r="K328" s="351"/>
      <c r="L328" s="437">
        <f>L329+L331+L333+L339+L369+L371+L373+L375+L377+L379+L381+L383+L385+L387+L389</f>
        <v>2930.9189999999999</v>
      </c>
      <c r="M328" s="437">
        <f t="shared" ref="M328:Y328" si="82">M329+M331+M333+M339+M369+M371+M373+M375+M377+M379+M381+M383+M385+M387+M389</f>
        <v>3284.1579999999999</v>
      </c>
      <c r="N328" s="437">
        <f t="shared" si="82"/>
        <v>7407.7209999999995</v>
      </c>
      <c r="O328" s="437">
        <f t="shared" si="82"/>
        <v>17894.633999999998</v>
      </c>
      <c r="P328" s="437">
        <f t="shared" si="82"/>
        <v>17060.796999999991</v>
      </c>
      <c r="Q328" s="437">
        <f t="shared" si="82"/>
        <v>10378.413999999999</v>
      </c>
      <c r="R328" s="437">
        <f t="shared" si="82"/>
        <v>6606.1139999999987</v>
      </c>
      <c r="S328" s="437">
        <f t="shared" si="82"/>
        <v>4840.6229767470886</v>
      </c>
      <c r="T328" s="437">
        <f t="shared" si="82"/>
        <v>3190.9269978913062</v>
      </c>
      <c r="U328" s="437">
        <f t="shared" si="82"/>
        <v>3225.8398431431651</v>
      </c>
      <c r="V328" s="437">
        <f t="shared" si="82"/>
        <v>3398.3372527542415</v>
      </c>
      <c r="W328" s="437">
        <f t="shared" si="82"/>
        <v>3473.1327255185197</v>
      </c>
      <c r="X328" s="437">
        <f t="shared" si="82"/>
        <v>3609.034162425005</v>
      </c>
      <c r="Y328" s="437">
        <f t="shared" si="82"/>
        <v>3732.3673521512233</v>
      </c>
      <c r="Z328" s="400"/>
      <c r="AA328" s="439"/>
      <c r="AB328" s="439"/>
      <c r="AC328" s="439"/>
      <c r="AD328" s="439"/>
      <c r="AE328" s="439"/>
      <c r="AF328" s="439"/>
      <c r="AG328" s="439"/>
      <c r="AH328" s="439"/>
      <c r="AI328" s="439"/>
      <c r="AJ328" s="439"/>
      <c r="AK328" s="439"/>
      <c r="AL328" s="439"/>
      <c r="AM328" s="439"/>
      <c r="AN328" s="354">
        <f t="shared" si="78"/>
        <v>5.8288980825022065</v>
      </c>
      <c r="AO328" s="355">
        <f t="shared" si="79"/>
        <v>6.1754945869170186E-2</v>
      </c>
    </row>
    <row r="329" spans="1:41" ht="21" x14ac:dyDescent="0.2">
      <c r="A329" s="260" t="s">
        <v>95</v>
      </c>
      <c r="B329" s="261" t="s">
        <v>345</v>
      </c>
      <c r="C329" s="282">
        <v>1</v>
      </c>
      <c r="D329" s="293"/>
      <c r="E329" s="293"/>
      <c r="F329" s="293"/>
      <c r="G329" s="294" t="s">
        <v>705</v>
      </c>
      <c r="H329" s="280"/>
      <c r="I329" s="280"/>
      <c r="J329" s="280"/>
      <c r="K329" s="280"/>
      <c r="L329" s="281">
        <v>10.119999999999999</v>
      </c>
      <c r="M329" s="281">
        <v>2.4700000000000002</v>
      </c>
      <c r="N329" s="281">
        <v>10.116</v>
      </c>
      <c r="O329" s="281">
        <v>19.5</v>
      </c>
      <c r="P329" s="313">
        <v>12.106</v>
      </c>
      <c r="Q329" s="313">
        <v>9.9329999999999998</v>
      </c>
      <c r="R329" s="313">
        <f>Q329*R$327/100*R330/100</f>
        <v>10.695431565620158</v>
      </c>
      <c r="S329" s="313">
        <f>R329*S$327/100*S330/100</f>
        <v>9.2833280854531672</v>
      </c>
      <c r="T329" s="313">
        <f>S329*T$327/100*T330/100</f>
        <v>8.6848568916214077</v>
      </c>
      <c r="U329" s="313"/>
      <c r="V329" s="313">
        <f>T329*V$327/100*V330/100</f>
        <v>7.7284152028081827</v>
      </c>
      <c r="W329" s="353"/>
      <c r="X329" s="313">
        <f>V329*X$327/100*X330/100</f>
        <v>6.8579313708685525</v>
      </c>
      <c r="Y329" s="353"/>
      <c r="AN329" s="316">
        <f t="shared" si="78"/>
        <v>0</v>
      </c>
      <c r="AO329" s="323" t="e">
        <f t="shared" si="79"/>
        <v>#DIV/0!</v>
      </c>
    </row>
    <row r="330" spans="1:41" s="356" customFormat="1" ht="18" x14ac:dyDescent="0.2">
      <c r="A330" s="347" t="s">
        <v>670</v>
      </c>
      <c r="B330" s="283" t="s">
        <v>907</v>
      </c>
      <c r="C330" s="348">
        <v>1</v>
      </c>
      <c r="D330" s="349"/>
      <c r="E330" s="349"/>
      <c r="F330" s="349"/>
      <c r="G330" s="350" t="s">
        <v>704</v>
      </c>
      <c r="H330" s="351"/>
      <c r="I330" s="351"/>
      <c r="J330" s="351"/>
      <c r="K330" s="351"/>
      <c r="L330" s="352"/>
      <c r="M330" s="352">
        <f>M329/(M$327/100)/L329*100</f>
        <v>23.24487107095803</v>
      </c>
      <c r="N330" s="352">
        <f>N329/(N$327/100)/M329*100</f>
        <v>379.56872647863327</v>
      </c>
      <c r="O330" s="352">
        <f>O329/(O$327/100)/N329*100</f>
        <v>177.17273742237109</v>
      </c>
      <c r="P330" s="352">
        <f>P329/(P$327/100)/O329*100</f>
        <v>58.12926150004801</v>
      </c>
      <c r="Q330" s="352">
        <f>Q329/(Q$327/100)/P329*100</f>
        <v>77.405870782926911</v>
      </c>
      <c r="R330" s="353">
        <f>AVERAGE(O330,P330,Q330)</f>
        <v>104.23595656844867</v>
      </c>
      <c r="S330" s="353">
        <f>AVERAGE(P330,Q330,R330)</f>
        <v>79.923696283807871</v>
      </c>
      <c r="T330" s="353">
        <f>AVERAGE(Q330,R330,S330)</f>
        <v>87.188507878394489</v>
      </c>
      <c r="U330" s="353"/>
      <c r="V330" s="353">
        <f>AVERAGE(S330,T330,U330)</f>
        <v>83.556102081101187</v>
      </c>
      <c r="W330" s="353"/>
      <c r="X330" s="353">
        <f>AVERAGE(U330,V330,W330)</f>
        <v>83.556102081101187</v>
      </c>
      <c r="Y330" s="353"/>
      <c r="Z330" s="439"/>
      <c r="AA330" s="439"/>
      <c r="AB330" s="439"/>
      <c r="AC330" s="439"/>
      <c r="AD330" s="439"/>
      <c r="AE330" s="439"/>
      <c r="AF330" s="439"/>
      <c r="AG330" s="439"/>
      <c r="AH330" s="439"/>
      <c r="AI330" s="439"/>
      <c r="AJ330" s="439"/>
      <c r="AK330" s="439"/>
      <c r="AL330" s="439"/>
      <c r="AM330" s="439"/>
      <c r="AN330" s="354">
        <f t="shared" si="78"/>
        <v>0</v>
      </c>
      <c r="AO330" s="355" t="e">
        <f t="shared" si="79"/>
        <v>#DIV/0!</v>
      </c>
    </row>
    <row r="331" spans="1:41" x14ac:dyDescent="0.2">
      <c r="A331" s="260" t="s">
        <v>96</v>
      </c>
      <c r="B331" s="261" t="s">
        <v>345</v>
      </c>
      <c r="C331" s="282">
        <v>1</v>
      </c>
      <c r="D331" s="293"/>
      <c r="E331" s="293"/>
      <c r="F331" s="293"/>
      <c r="G331" s="294" t="s">
        <v>705</v>
      </c>
      <c r="H331" s="280"/>
      <c r="I331" s="280"/>
      <c r="J331" s="280"/>
      <c r="K331" s="280"/>
      <c r="L331" s="281">
        <v>0.06</v>
      </c>
      <c r="M331" s="281">
        <v>0.34</v>
      </c>
      <c r="N331" s="281"/>
      <c r="O331" s="281"/>
      <c r="P331" s="313"/>
      <c r="Q331" s="313"/>
      <c r="R331" s="313"/>
      <c r="S331" s="313"/>
      <c r="T331" s="313"/>
      <c r="U331" s="313"/>
      <c r="V331" s="313"/>
      <c r="W331" s="313"/>
      <c r="X331" s="313"/>
      <c r="Y331" s="313"/>
      <c r="AN331" s="316">
        <f t="shared" si="78"/>
        <v>0</v>
      </c>
      <c r="AO331" s="323" t="e">
        <f t="shared" si="79"/>
        <v>#DIV/0!</v>
      </c>
    </row>
    <row r="332" spans="1:41" s="356" customFormat="1" ht="18" x14ac:dyDescent="0.2">
      <c r="A332" s="347" t="s">
        <v>670</v>
      </c>
      <c r="B332" s="283" t="s">
        <v>907</v>
      </c>
      <c r="C332" s="348">
        <v>1</v>
      </c>
      <c r="D332" s="349"/>
      <c r="E332" s="349"/>
      <c r="F332" s="349"/>
      <c r="G332" s="350" t="s">
        <v>704</v>
      </c>
      <c r="H332" s="351"/>
      <c r="I332" s="351"/>
      <c r="J332" s="351"/>
      <c r="K332" s="351"/>
      <c r="L332" s="352"/>
      <c r="M332" s="352"/>
      <c r="N332" s="352"/>
      <c r="O332" s="352"/>
      <c r="P332" s="353"/>
      <c r="Q332" s="353"/>
      <c r="R332" s="353"/>
      <c r="S332" s="353"/>
      <c r="T332" s="353"/>
      <c r="U332" s="353"/>
      <c r="V332" s="353"/>
      <c r="W332" s="353"/>
      <c r="X332" s="353"/>
      <c r="Y332" s="353"/>
      <c r="Z332" s="439"/>
      <c r="AA332" s="439"/>
      <c r="AB332" s="439"/>
      <c r="AC332" s="439"/>
      <c r="AD332" s="439"/>
      <c r="AE332" s="439"/>
      <c r="AF332" s="439"/>
      <c r="AG332" s="439"/>
      <c r="AH332" s="439"/>
      <c r="AI332" s="439"/>
      <c r="AJ332" s="439"/>
      <c r="AK332" s="439"/>
      <c r="AL332" s="439"/>
      <c r="AM332" s="439"/>
      <c r="AN332" s="354">
        <f t="shared" si="78"/>
        <v>0</v>
      </c>
      <c r="AO332" s="355" t="e">
        <f t="shared" si="79"/>
        <v>#DIV/0!</v>
      </c>
    </row>
    <row r="333" spans="1:41" x14ac:dyDescent="0.2">
      <c r="A333" s="260" t="s">
        <v>77</v>
      </c>
      <c r="B333" s="261" t="s">
        <v>345</v>
      </c>
      <c r="C333" s="282">
        <v>1</v>
      </c>
      <c r="D333" s="293"/>
      <c r="E333" s="293"/>
      <c r="F333" s="293"/>
      <c r="G333" s="294" t="s">
        <v>705</v>
      </c>
      <c r="H333" s="280"/>
      <c r="I333" s="280"/>
      <c r="J333" s="280"/>
      <c r="K333" s="280"/>
      <c r="L333" s="281"/>
      <c r="M333" s="281">
        <v>0.34</v>
      </c>
      <c r="N333" s="281">
        <v>0.13500000000000001</v>
      </c>
      <c r="O333" s="281">
        <v>9.1999999999999998E-2</v>
      </c>
      <c r="P333" s="313">
        <f>O333*1.02</f>
        <v>9.3840000000000007E-2</v>
      </c>
      <c r="Q333" s="313">
        <f>P333*1.1</f>
        <v>0.10322400000000001</v>
      </c>
      <c r="R333" s="313">
        <f>Q333*R$327/100*R334/100</f>
        <v>9.3093794699236024E-2</v>
      </c>
      <c r="S333" s="313">
        <f>R333*S$327/100*S334/100</f>
        <v>9.6578785019394042E-2</v>
      </c>
      <c r="T333" s="313">
        <f>S333*T$327/100*T334/100</f>
        <v>9.9002627256389419E-2</v>
      </c>
      <c r="U333" s="313"/>
      <c r="V333" s="313">
        <f>T333*V$327/100*V334/100</f>
        <v>9.7835323979481886E-2</v>
      </c>
      <c r="W333" s="313"/>
      <c r="X333" s="313">
        <f>V333*X$327/100*X334/100</f>
        <v>9.8308922770219451E-2</v>
      </c>
      <c r="Y333" s="313"/>
      <c r="AN333" s="316">
        <f t="shared" si="78"/>
        <v>0</v>
      </c>
      <c r="AO333" s="323" t="e">
        <f t="shared" si="79"/>
        <v>#DIV/0!</v>
      </c>
    </row>
    <row r="334" spans="1:41" s="356" customFormat="1" ht="18" x14ac:dyDescent="0.2">
      <c r="A334" s="347" t="s">
        <v>670</v>
      </c>
      <c r="B334" s="283" t="s">
        <v>907</v>
      </c>
      <c r="C334" s="348">
        <v>1</v>
      </c>
      <c r="D334" s="349"/>
      <c r="E334" s="349"/>
      <c r="F334" s="349"/>
      <c r="G334" s="350" t="s">
        <v>704</v>
      </c>
      <c r="H334" s="351"/>
      <c r="I334" s="351"/>
      <c r="J334" s="351"/>
      <c r="K334" s="351"/>
      <c r="L334" s="352"/>
      <c r="M334" s="352" t="e">
        <f>M333/(M$327/100)/L333*100</f>
        <v>#DIV/0!</v>
      </c>
      <c r="N334" s="352">
        <f>N333/(N$327/100)/M333*100</f>
        <v>36.79877882571008</v>
      </c>
      <c r="O334" s="352">
        <f>O333/(O$327/100)/N333*100</f>
        <v>62.636165577342041</v>
      </c>
      <c r="P334" s="353">
        <f>P333/(P$327/100)/O333*100</f>
        <v>95.50561797752809</v>
      </c>
      <c r="Q334" s="353">
        <f>Q333/(Q$327/100)/P333*100</f>
        <v>103.77358490566037</v>
      </c>
      <c r="R334" s="353">
        <f>AVERAGE(O334,P334,Q334)</f>
        <v>87.305122820176834</v>
      </c>
      <c r="S334" s="353">
        <f>AVERAGE(P334,Q334,R334)</f>
        <v>95.528108567788436</v>
      </c>
      <c r="T334" s="353">
        <f>AVERAGE(Q334,R334,S334)</f>
        <v>95.535605431208538</v>
      </c>
      <c r="U334" s="353"/>
      <c r="V334" s="353">
        <f>AVERAGE(R334,S334,T334)</f>
        <v>92.789612273057926</v>
      </c>
      <c r="W334" s="353"/>
      <c r="X334" s="353">
        <f>AVERAGE(S334,T334,V334)</f>
        <v>94.617775424018305</v>
      </c>
      <c r="Y334" s="353"/>
      <c r="Z334" s="439"/>
      <c r="AA334" s="439"/>
      <c r="AB334" s="439"/>
      <c r="AC334" s="439"/>
      <c r="AD334" s="439"/>
      <c r="AE334" s="439"/>
      <c r="AF334" s="439"/>
      <c r="AG334" s="439"/>
      <c r="AH334" s="439"/>
      <c r="AI334" s="439"/>
      <c r="AJ334" s="439"/>
      <c r="AK334" s="439"/>
      <c r="AL334" s="439"/>
      <c r="AM334" s="439"/>
      <c r="AN334" s="354">
        <f t="shared" si="78"/>
        <v>0</v>
      </c>
      <c r="AO334" s="355" t="e">
        <f t="shared" si="79"/>
        <v>#DIV/0!</v>
      </c>
    </row>
    <row r="335" spans="1:41" ht="21" x14ac:dyDescent="0.2">
      <c r="A335" s="260" t="s">
        <v>97</v>
      </c>
      <c r="B335" s="261" t="s">
        <v>345</v>
      </c>
      <c r="C335" s="282">
        <v>1</v>
      </c>
      <c r="D335" s="293"/>
      <c r="E335" s="293"/>
      <c r="F335" s="293"/>
      <c r="G335" s="294" t="s">
        <v>705</v>
      </c>
      <c r="H335" s="280"/>
      <c r="I335" s="280"/>
      <c r="J335" s="280"/>
      <c r="K335" s="280"/>
      <c r="L335" s="281"/>
      <c r="M335" s="281"/>
      <c r="N335" s="281"/>
      <c r="O335" s="281"/>
      <c r="P335" s="313"/>
      <c r="Q335" s="313"/>
      <c r="R335" s="313"/>
      <c r="S335" s="313"/>
      <c r="T335" s="313"/>
      <c r="U335" s="313"/>
      <c r="V335" s="313"/>
      <c r="W335" s="313"/>
      <c r="X335" s="313"/>
      <c r="Y335" s="313"/>
      <c r="AN335" s="316">
        <f t="shared" si="78"/>
        <v>0</v>
      </c>
      <c r="AO335" s="323" t="e">
        <f t="shared" si="79"/>
        <v>#DIV/0!</v>
      </c>
    </row>
    <row r="336" spans="1:41" s="356" customFormat="1" ht="18" x14ac:dyDescent="0.2">
      <c r="A336" s="347" t="s">
        <v>670</v>
      </c>
      <c r="B336" s="283" t="s">
        <v>907</v>
      </c>
      <c r="C336" s="348">
        <v>1</v>
      </c>
      <c r="D336" s="349"/>
      <c r="E336" s="349"/>
      <c r="F336" s="349"/>
      <c r="G336" s="350" t="s">
        <v>704</v>
      </c>
      <c r="H336" s="351"/>
      <c r="I336" s="351"/>
      <c r="J336" s="351"/>
      <c r="K336" s="351"/>
      <c r="L336" s="352"/>
      <c r="M336" s="352"/>
      <c r="N336" s="352"/>
      <c r="O336" s="352"/>
      <c r="P336" s="353"/>
      <c r="Q336" s="353"/>
      <c r="R336" s="353"/>
      <c r="S336" s="353"/>
      <c r="T336" s="353"/>
      <c r="U336" s="353"/>
      <c r="V336" s="353"/>
      <c r="W336" s="353"/>
      <c r="X336" s="353"/>
      <c r="Y336" s="353"/>
      <c r="Z336" s="439"/>
      <c r="AA336" s="439"/>
      <c r="AB336" s="439"/>
      <c r="AC336" s="439"/>
      <c r="AD336" s="439"/>
      <c r="AE336" s="439"/>
      <c r="AF336" s="439"/>
      <c r="AG336" s="439"/>
      <c r="AH336" s="439"/>
      <c r="AI336" s="439"/>
      <c r="AJ336" s="439"/>
      <c r="AK336" s="439"/>
      <c r="AL336" s="439"/>
      <c r="AM336" s="439"/>
      <c r="AN336" s="354">
        <f t="shared" si="78"/>
        <v>0</v>
      </c>
      <c r="AO336" s="355" t="e">
        <f t="shared" si="79"/>
        <v>#DIV/0!</v>
      </c>
    </row>
    <row r="337" spans="1:41" ht="31.5" x14ac:dyDescent="0.2">
      <c r="A337" s="260" t="s">
        <v>98</v>
      </c>
      <c r="B337" s="261" t="s">
        <v>345</v>
      </c>
      <c r="C337" s="282">
        <v>1</v>
      </c>
      <c r="D337" s="293"/>
      <c r="E337" s="293"/>
      <c r="F337" s="293"/>
      <c r="G337" s="294" t="s">
        <v>705</v>
      </c>
      <c r="H337" s="280"/>
      <c r="I337" s="280"/>
      <c r="J337" s="280"/>
      <c r="K337" s="280"/>
      <c r="L337" s="281"/>
      <c r="M337" s="281">
        <v>0.34</v>
      </c>
      <c r="N337" s="281">
        <v>0.13500000000000001</v>
      </c>
      <c r="O337" s="281">
        <v>9.1999999999999998E-2</v>
      </c>
      <c r="P337" s="313">
        <f>O337*1.02</f>
        <v>9.3840000000000007E-2</v>
      </c>
      <c r="Q337" s="313">
        <f>P337*1.1</f>
        <v>0.10322400000000001</v>
      </c>
      <c r="R337" s="313">
        <f>Q337*R$327/100*R338/100</f>
        <v>9.3093794699236024E-2</v>
      </c>
      <c r="S337" s="313">
        <f>R337*S$327/100*S338/100</f>
        <v>9.6578785019394042E-2</v>
      </c>
      <c r="T337" s="313">
        <f>S337*T$327/100*T338/100</f>
        <v>9.9002627256389419E-2</v>
      </c>
      <c r="U337" s="313"/>
      <c r="V337" s="313">
        <f>T337*V$327/100*V338/100</f>
        <v>9.7835323979481886E-2</v>
      </c>
      <c r="W337" s="313"/>
      <c r="X337" s="313">
        <f>V337*X$327/100*X338/100</f>
        <v>9.8308922770219451E-2</v>
      </c>
      <c r="Y337" s="313"/>
      <c r="AN337" s="316">
        <f t="shared" si="78"/>
        <v>0</v>
      </c>
      <c r="AO337" s="323" t="e">
        <f t="shared" si="79"/>
        <v>#DIV/0!</v>
      </c>
    </row>
    <row r="338" spans="1:41" s="356" customFormat="1" ht="18" x14ac:dyDescent="0.2">
      <c r="A338" s="347" t="s">
        <v>670</v>
      </c>
      <c r="B338" s="283" t="s">
        <v>907</v>
      </c>
      <c r="C338" s="348">
        <v>1</v>
      </c>
      <c r="D338" s="349"/>
      <c r="E338" s="349"/>
      <c r="F338" s="349"/>
      <c r="G338" s="350" t="s">
        <v>704</v>
      </c>
      <c r="H338" s="351"/>
      <c r="I338" s="351"/>
      <c r="J338" s="351"/>
      <c r="K338" s="351"/>
      <c r="L338" s="352"/>
      <c r="M338" s="352" t="e">
        <f>M337/(M$327/100)/L337*100</f>
        <v>#DIV/0!</v>
      </c>
      <c r="N338" s="352">
        <f>N337/(N$327/100)/M337*100</f>
        <v>36.79877882571008</v>
      </c>
      <c r="O338" s="352">
        <f>O337/(O$327/100)/N337*100</f>
        <v>62.636165577342041</v>
      </c>
      <c r="P338" s="353">
        <f>P337/(P$327/100)/O337*100</f>
        <v>95.50561797752809</v>
      </c>
      <c r="Q338" s="353">
        <f>Q337/(Q$327/100)/P337*100</f>
        <v>103.77358490566037</v>
      </c>
      <c r="R338" s="353">
        <f>AVERAGE(O338,P338,Q338)</f>
        <v>87.305122820176834</v>
      </c>
      <c r="S338" s="353">
        <f>AVERAGE(P338,Q338,R338)</f>
        <v>95.528108567788436</v>
      </c>
      <c r="T338" s="353">
        <f>AVERAGE(Q338,R338,S338)</f>
        <v>95.535605431208538</v>
      </c>
      <c r="U338" s="353"/>
      <c r="V338" s="353">
        <f>AVERAGE(R338,S338,T338)</f>
        <v>92.789612273057926</v>
      </c>
      <c r="W338" s="353"/>
      <c r="X338" s="353">
        <f>AVERAGE(S338,T338,V338)</f>
        <v>94.617775424018305</v>
      </c>
      <c r="Y338" s="353"/>
      <c r="Z338" s="439"/>
      <c r="AN338" s="354">
        <f t="shared" si="78"/>
        <v>0</v>
      </c>
      <c r="AO338" s="355" t="e">
        <f t="shared" si="79"/>
        <v>#DIV/0!</v>
      </c>
    </row>
    <row r="339" spans="1:41" x14ac:dyDescent="0.2">
      <c r="A339" s="260" t="s">
        <v>78</v>
      </c>
      <c r="B339" s="261" t="s">
        <v>345</v>
      </c>
      <c r="C339" s="282">
        <v>1</v>
      </c>
      <c r="D339" s="293"/>
      <c r="E339" s="293"/>
      <c r="F339" s="293"/>
      <c r="G339" s="294" t="s">
        <v>705</v>
      </c>
      <c r="H339" s="280"/>
      <c r="I339" s="280"/>
      <c r="J339" s="280"/>
      <c r="K339" s="280"/>
      <c r="L339" s="281">
        <v>426.34</v>
      </c>
      <c r="M339" s="281">
        <v>165.92</v>
      </c>
      <c r="N339" s="281">
        <v>374.07</v>
      </c>
      <c r="O339" s="281">
        <v>399.17899999999997</v>
      </c>
      <c r="P339" s="313">
        <v>402.39600000000002</v>
      </c>
      <c r="Q339" s="313">
        <v>427.46300000000002</v>
      </c>
      <c r="R339" s="313">
        <f>Q339*R$327/100*R340/100</f>
        <v>430.80268820356969</v>
      </c>
      <c r="S339" s="313">
        <f>R339*S$327/100*S340/100</f>
        <v>455.63415088445953</v>
      </c>
      <c r="T339" s="313">
        <f>S339*T$327/100*T340/100</f>
        <v>481.01896916169483</v>
      </c>
      <c r="U339" s="313"/>
      <c r="V339" s="313">
        <f>T339*V$327/100*V340/100</f>
        <v>500.91118863907667</v>
      </c>
      <c r="W339" s="313"/>
      <c r="X339" s="313">
        <f>V339*X$327/100*X340/100</f>
        <v>520.54324241068173</v>
      </c>
      <c r="Y339" s="313"/>
      <c r="AN339" s="316">
        <f t="shared" si="78"/>
        <v>0</v>
      </c>
      <c r="AO339" s="323" t="e">
        <f t="shared" si="79"/>
        <v>#DIV/0!</v>
      </c>
    </row>
    <row r="340" spans="1:41" s="356" customFormat="1" ht="18" x14ac:dyDescent="0.2">
      <c r="A340" s="347" t="s">
        <v>670</v>
      </c>
      <c r="B340" s="283" t="s">
        <v>907</v>
      </c>
      <c r="C340" s="348">
        <v>1</v>
      </c>
      <c r="D340" s="349"/>
      <c r="E340" s="349"/>
      <c r="F340" s="349"/>
      <c r="G340" s="350" t="s">
        <v>704</v>
      </c>
      <c r="H340" s="351"/>
      <c r="I340" s="351"/>
      <c r="J340" s="351"/>
      <c r="K340" s="351"/>
      <c r="L340" s="352">
        <v>257.17</v>
      </c>
      <c r="M340" s="352">
        <f>M339/(M$327/100)/L339*100</f>
        <v>37.064091480754236</v>
      </c>
      <c r="N340" s="352">
        <f>N339/(N$327/100)/M339*100</f>
        <v>208.94534297713068</v>
      </c>
      <c r="O340" s="352">
        <f>O339/(O$327/100)/N339*100</f>
        <v>98.081231650571837</v>
      </c>
      <c r="P340" s="353">
        <f>P339/(P$327/100)/O339*100</f>
        <v>94.387550672474362</v>
      </c>
      <c r="Q340" s="353">
        <f>Q339/(Q$327/100)/P339*100</f>
        <v>100.21644875497657</v>
      </c>
      <c r="R340" s="353">
        <f>AVERAGE(O340,P340,Q340)</f>
        <v>97.561743692674256</v>
      </c>
      <c r="S340" s="353">
        <f>AVERAGE(P340,Q340,R340)</f>
        <v>97.388581040041728</v>
      </c>
      <c r="T340" s="353">
        <f>AVERAGE(Q340,R340,S340)</f>
        <v>98.388924495897527</v>
      </c>
      <c r="U340" s="353"/>
      <c r="V340" s="353">
        <f>AVERAGE(R340,S340,T340)</f>
        <v>97.779749742871175</v>
      </c>
      <c r="W340" s="353"/>
      <c r="X340" s="353">
        <f>AVERAGE(S340,T340,V340)</f>
        <v>97.852418426270148</v>
      </c>
      <c r="Y340" s="353"/>
      <c r="Z340" s="439"/>
      <c r="AA340" s="439"/>
      <c r="AB340" s="439"/>
      <c r="AC340" s="439"/>
      <c r="AD340" s="439"/>
      <c r="AE340" s="439"/>
      <c r="AF340" s="439"/>
      <c r="AG340" s="439"/>
      <c r="AH340" s="439"/>
      <c r="AI340" s="439"/>
      <c r="AJ340" s="439"/>
      <c r="AK340" s="439"/>
      <c r="AL340" s="439"/>
      <c r="AM340" s="439"/>
      <c r="AN340" s="354">
        <f t="shared" si="78"/>
        <v>0</v>
      </c>
      <c r="AO340" s="355" t="e">
        <f t="shared" si="79"/>
        <v>#DIV/0!</v>
      </c>
    </row>
    <row r="341" spans="1:41" ht="21" hidden="1" x14ac:dyDescent="0.2">
      <c r="A341" s="260" t="s">
        <v>99</v>
      </c>
      <c r="B341" s="261" t="s">
        <v>345</v>
      </c>
      <c r="C341" s="282">
        <v>1</v>
      </c>
      <c r="D341" s="293"/>
      <c r="E341" s="293"/>
      <c r="F341" s="293"/>
      <c r="G341" s="294" t="s">
        <v>705</v>
      </c>
      <c r="H341" s="280"/>
      <c r="I341" s="280"/>
      <c r="J341" s="280"/>
      <c r="K341" s="280"/>
      <c r="L341" s="281"/>
      <c r="M341" s="281"/>
      <c r="N341" s="281"/>
      <c r="O341" s="281"/>
      <c r="P341" s="313"/>
      <c r="Q341" s="313"/>
      <c r="R341" s="313"/>
      <c r="S341" s="313"/>
      <c r="T341" s="313"/>
      <c r="U341" s="313"/>
      <c r="V341" s="313"/>
      <c r="W341" s="313"/>
      <c r="X341" s="313"/>
      <c r="Y341" s="313"/>
      <c r="AN341" s="316">
        <f t="shared" si="78"/>
        <v>0</v>
      </c>
      <c r="AO341" s="323" t="e">
        <f t="shared" si="79"/>
        <v>#DIV/0!</v>
      </c>
    </row>
    <row r="342" spans="1:41" s="356" customFormat="1" ht="18" hidden="1" x14ac:dyDescent="0.2">
      <c r="A342" s="347" t="s">
        <v>670</v>
      </c>
      <c r="B342" s="283" t="s">
        <v>907</v>
      </c>
      <c r="C342" s="348">
        <v>1</v>
      </c>
      <c r="D342" s="349"/>
      <c r="E342" s="349"/>
      <c r="F342" s="349"/>
      <c r="G342" s="350" t="s">
        <v>704</v>
      </c>
      <c r="H342" s="351"/>
      <c r="I342" s="351"/>
      <c r="J342" s="351"/>
      <c r="K342" s="351"/>
      <c r="L342" s="352"/>
      <c r="M342" s="352"/>
      <c r="N342" s="352"/>
      <c r="O342" s="352"/>
      <c r="P342" s="353"/>
      <c r="Q342" s="353"/>
      <c r="R342" s="353"/>
      <c r="S342" s="353"/>
      <c r="T342" s="353"/>
      <c r="U342" s="353"/>
      <c r="V342" s="353"/>
      <c r="W342" s="353"/>
      <c r="X342" s="353"/>
      <c r="Y342" s="353"/>
      <c r="Z342" s="439"/>
      <c r="AA342" s="439"/>
      <c r="AB342" s="439"/>
      <c r="AC342" s="439"/>
      <c r="AD342" s="439"/>
      <c r="AE342" s="439"/>
      <c r="AF342" s="439"/>
      <c r="AG342" s="439"/>
      <c r="AH342" s="439"/>
      <c r="AI342" s="439"/>
      <c r="AJ342" s="439"/>
      <c r="AK342" s="439"/>
      <c r="AL342" s="439"/>
      <c r="AM342" s="439"/>
      <c r="AN342" s="354">
        <f t="shared" si="78"/>
        <v>0</v>
      </c>
      <c r="AO342" s="355" t="e">
        <f t="shared" si="79"/>
        <v>#DIV/0!</v>
      </c>
    </row>
    <row r="343" spans="1:41" ht="21" hidden="1" x14ac:dyDescent="0.2">
      <c r="A343" s="260" t="s">
        <v>115</v>
      </c>
      <c r="B343" s="261" t="s">
        <v>345</v>
      </c>
      <c r="C343" s="282">
        <v>1</v>
      </c>
      <c r="D343" s="293"/>
      <c r="E343" s="293"/>
      <c r="F343" s="293"/>
      <c r="G343" s="294" t="s">
        <v>705</v>
      </c>
      <c r="H343" s="280"/>
      <c r="I343" s="280"/>
      <c r="J343" s="280"/>
      <c r="K343" s="280"/>
      <c r="L343" s="281"/>
      <c r="M343" s="281"/>
      <c r="N343" s="281"/>
      <c r="O343" s="281"/>
      <c r="P343" s="313"/>
      <c r="Q343" s="313"/>
      <c r="R343" s="313"/>
      <c r="S343" s="313"/>
      <c r="T343" s="313"/>
      <c r="U343" s="313"/>
      <c r="V343" s="313"/>
      <c r="W343" s="313"/>
      <c r="X343" s="313"/>
      <c r="Y343" s="313"/>
      <c r="AN343" s="316">
        <f t="shared" si="78"/>
        <v>0</v>
      </c>
      <c r="AO343" s="323" t="e">
        <f t="shared" si="79"/>
        <v>#DIV/0!</v>
      </c>
    </row>
    <row r="344" spans="1:41" s="356" customFormat="1" ht="18" hidden="1" x14ac:dyDescent="0.2">
      <c r="A344" s="347" t="s">
        <v>670</v>
      </c>
      <c r="B344" s="283" t="s">
        <v>907</v>
      </c>
      <c r="C344" s="348">
        <v>1</v>
      </c>
      <c r="D344" s="349"/>
      <c r="E344" s="349"/>
      <c r="F344" s="349"/>
      <c r="G344" s="350" t="s">
        <v>704</v>
      </c>
      <c r="H344" s="351"/>
      <c r="I344" s="351"/>
      <c r="J344" s="351"/>
      <c r="K344" s="351"/>
      <c r="L344" s="352"/>
      <c r="M344" s="352"/>
      <c r="N344" s="352"/>
      <c r="O344" s="352"/>
      <c r="P344" s="353"/>
      <c r="Q344" s="353"/>
      <c r="R344" s="353"/>
      <c r="S344" s="353"/>
      <c r="T344" s="353"/>
      <c r="U344" s="353"/>
      <c r="V344" s="353"/>
      <c r="W344" s="353"/>
      <c r="X344" s="353"/>
      <c r="Y344" s="353"/>
      <c r="Z344" s="439"/>
      <c r="AA344" s="439"/>
      <c r="AB344" s="439"/>
      <c r="AC344" s="439"/>
      <c r="AD344" s="439"/>
      <c r="AE344" s="439"/>
      <c r="AF344" s="439"/>
      <c r="AG344" s="439"/>
      <c r="AH344" s="439"/>
      <c r="AI344" s="439"/>
      <c r="AJ344" s="439"/>
      <c r="AK344" s="439"/>
      <c r="AL344" s="439"/>
      <c r="AM344" s="439"/>
      <c r="AN344" s="354">
        <f t="shared" si="78"/>
        <v>0</v>
      </c>
      <c r="AO344" s="355" t="e">
        <f t="shared" si="79"/>
        <v>#DIV/0!</v>
      </c>
    </row>
    <row r="345" spans="1:41" ht="21" hidden="1" x14ac:dyDescent="0.2">
      <c r="A345" s="260" t="s">
        <v>116</v>
      </c>
      <c r="B345" s="261" t="s">
        <v>345</v>
      </c>
      <c r="C345" s="282">
        <v>1</v>
      </c>
      <c r="D345" s="293"/>
      <c r="E345" s="293"/>
      <c r="F345" s="293"/>
      <c r="G345" s="294" t="s">
        <v>705</v>
      </c>
      <c r="H345" s="280"/>
      <c r="I345" s="280"/>
      <c r="J345" s="280"/>
      <c r="K345" s="280"/>
      <c r="L345" s="281"/>
      <c r="M345" s="281"/>
      <c r="N345" s="281"/>
      <c r="O345" s="281"/>
      <c r="P345" s="313"/>
      <c r="Q345" s="313"/>
      <c r="R345" s="313"/>
      <c r="S345" s="313"/>
      <c r="T345" s="313"/>
      <c r="U345" s="313"/>
      <c r="V345" s="313"/>
      <c r="W345" s="313"/>
      <c r="X345" s="313"/>
      <c r="Y345" s="313"/>
      <c r="AN345" s="316">
        <f t="shared" si="78"/>
        <v>0</v>
      </c>
      <c r="AO345" s="323" t="e">
        <f t="shared" si="79"/>
        <v>#DIV/0!</v>
      </c>
    </row>
    <row r="346" spans="1:41" s="356" customFormat="1" ht="18" hidden="1" x14ac:dyDescent="0.2">
      <c r="A346" s="347" t="s">
        <v>670</v>
      </c>
      <c r="B346" s="283" t="s">
        <v>907</v>
      </c>
      <c r="C346" s="348">
        <v>1</v>
      </c>
      <c r="D346" s="349"/>
      <c r="E346" s="349"/>
      <c r="F346" s="349"/>
      <c r="G346" s="350" t="s">
        <v>704</v>
      </c>
      <c r="H346" s="351"/>
      <c r="I346" s="351"/>
      <c r="J346" s="351"/>
      <c r="K346" s="351"/>
      <c r="L346" s="352"/>
      <c r="M346" s="352"/>
      <c r="N346" s="352"/>
      <c r="O346" s="352"/>
      <c r="P346" s="353"/>
      <c r="Q346" s="353"/>
      <c r="R346" s="353"/>
      <c r="S346" s="353"/>
      <c r="T346" s="353"/>
      <c r="U346" s="353"/>
      <c r="V346" s="353"/>
      <c r="W346" s="353"/>
      <c r="X346" s="353"/>
      <c r="Y346" s="353"/>
      <c r="Z346" s="439"/>
      <c r="AA346" s="439"/>
      <c r="AB346" s="439"/>
      <c r="AC346" s="439"/>
      <c r="AD346" s="439"/>
      <c r="AE346" s="439"/>
      <c r="AF346" s="439"/>
      <c r="AG346" s="439"/>
      <c r="AH346" s="439"/>
      <c r="AI346" s="439"/>
      <c r="AJ346" s="439"/>
      <c r="AK346" s="439"/>
      <c r="AL346" s="439"/>
      <c r="AM346" s="439"/>
      <c r="AN346" s="354">
        <f t="shared" si="78"/>
        <v>0</v>
      </c>
      <c r="AO346" s="355" t="e">
        <f t="shared" si="79"/>
        <v>#DIV/0!</v>
      </c>
    </row>
    <row r="347" spans="1:41" ht="21" hidden="1" x14ac:dyDescent="0.2">
      <c r="A347" s="260" t="s">
        <v>117</v>
      </c>
      <c r="B347" s="261" t="s">
        <v>345</v>
      </c>
      <c r="C347" s="282">
        <v>1</v>
      </c>
      <c r="D347" s="293"/>
      <c r="E347" s="293"/>
      <c r="F347" s="293"/>
      <c r="G347" s="294" t="s">
        <v>705</v>
      </c>
      <c r="H347" s="280"/>
      <c r="I347" s="280"/>
      <c r="J347" s="280"/>
      <c r="K347" s="280"/>
      <c r="L347" s="281"/>
      <c r="M347" s="281"/>
      <c r="N347" s="281"/>
      <c r="O347" s="281"/>
      <c r="P347" s="313"/>
      <c r="Q347" s="313"/>
      <c r="R347" s="313"/>
      <c r="S347" s="313"/>
      <c r="T347" s="313"/>
      <c r="U347" s="313"/>
      <c r="V347" s="313"/>
      <c r="W347" s="313"/>
      <c r="X347" s="313"/>
      <c r="Y347" s="313"/>
      <c r="AN347" s="316">
        <f t="shared" si="78"/>
        <v>0</v>
      </c>
      <c r="AO347" s="323" t="e">
        <f t="shared" si="79"/>
        <v>#DIV/0!</v>
      </c>
    </row>
    <row r="348" spans="1:41" s="356" customFormat="1" ht="18" hidden="1" x14ac:dyDescent="0.2">
      <c r="A348" s="347" t="s">
        <v>670</v>
      </c>
      <c r="B348" s="283" t="s">
        <v>907</v>
      </c>
      <c r="C348" s="348">
        <v>1</v>
      </c>
      <c r="D348" s="349"/>
      <c r="E348" s="349"/>
      <c r="F348" s="349"/>
      <c r="G348" s="350" t="s">
        <v>704</v>
      </c>
      <c r="H348" s="351"/>
      <c r="I348" s="351"/>
      <c r="J348" s="351"/>
      <c r="K348" s="351"/>
      <c r="L348" s="352"/>
      <c r="M348" s="352"/>
      <c r="N348" s="352"/>
      <c r="O348" s="352"/>
      <c r="P348" s="353"/>
      <c r="Q348" s="353"/>
      <c r="R348" s="353"/>
      <c r="S348" s="353"/>
      <c r="T348" s="353"/>
      <c r="U348" s="353"/>
      <c r="V348" s="353"/>
      <c r="W348" s="353"/>
      <c r="X348" s="353"/>
      <c r="Y348" s="353"/>
      <c r="Z348" s="439"/>
      <c r="AA348" s="439"/>
      <c r="AB348" s="439"/>
      <c r="AC348" s="439"/>
      <c r="AD348" s="439"/>
      <c r="AE348" s="439"/>
      <c r="AF348" s="439"/>
      <c r="AG348" s="439"/>
      <c r="AH348" s="439"/>
      <c r="AI348" s="439"/>
      <c r="AJ348" s="439"/>
      <c r="AK348" s="439"/>
      <c r="AL348" s="439"/>
      <c r="AM348" s="439"/>
      <c r="AN348" s="354">
        <f t="shared" si="78"/>
        <v>0</v>
      </c>
      <c r="AO348" s="355" t="e">
        <f t="shared" si="79"/>
        <v>#DIV/0!</v>
      </c>
    </row>
    <row r="349" spans="1:41" ht="31.5" hidden="1" x14ac:dyDescent="0.2">
      <c r="A349" s="260" t="s">
        <v>118</v>
      </c>
      <c r="B349" s="261" t="s">
        <v>345</v>
      </c>
      <c r="C349" s="282">
        <v>1</v>
      </c>
      <c r="D349" s="293"/>
      <c r="E349" s="293"/>
      <c r="F349" s="293"/>
      <c r="G349" s="294" t="s">
        <v>705</v>
      </c>
      <c r="H349" s="280"/>
      <c r="I349" s="280"/>
      <c r="J349" s="280"/>
      <c r="K349" s="280"/>
      <c r="L349" s="281"/>
      <c r="M349" s="281"/>
      <c r="N349" s="281"/>
      <c r="O349" s="281"/>
      <c r="P349" s="313"/>
      <c r="Q349" s="313"/>
      <c r="R349" s="313"/>
      <c r="S349" s="313"/>
      <c r="T349" s="313"/>
      <c r="U349" s="313"/>
      <c r="V349" s="313"/>
      <c r="W349" s="313"/>
      <c r="X349" s="313"/>
      <c r="Y349" s="313"/>
      <c r="AN349" s="316">
        <f t="shared" si="78"/>
        <v>0</v>
      </c>
      <c r="AO349" s="323" t="e">
        <f t="shared" si="79"/>
        <v>#DIV/0!</v>
      </c>
    </row>
    <row r="350" spans="1:41" s="356" customFormat="1" ht="18" hidden="1" x14ac:dyDescent="0.2">
      <c r="A350" s="347" t="s">
        <v>670</v>
      </c>
      <c r="B350" s="283" t="s">
        <v>907</v>
      </c>
      <c r="C350" s="348">
        <v>1</v>
      </c>
      <c r="D350" s="349"/>
      <c r="E350" s="349"/>
      <c r="F350" s="349"/>
      <c r="G350" s="350" t="s">
        <v>704</v>
      </c>
      <c r="H350" s="351"/>
      <c r="I350" s="351"/>
      <c r="J350" s="351"/>
      <c r="K350" s="351"/>
      <c r="L350" s="352"/>
      <c r="M350" s="352"/>
      <c r="N350" s="352"/>
      <c r="O350" s="352"/>
      <c r="P350" s="353"/>
      <c r="Q350" s="353"/>
      <c r="R350" s="353"/>
      <c r="S350" s="353"/>
      <c r="T350" s="353"/>
      <c r="U350" s="353"/>
      <c r="V350" s="353"/>
      <c r="W350" s="353"/>
      <c r="X350" s="353"/>
      <c r="Y350" s="353"/>
      <c r="AA350" s="439"/>
      <c r="AB350" s="439"/>
      <c r="AC350" s="439"/>
      <c r="AD350" s="439"/>
      <c r="AE350" s="439"/>
      <c r="AF350" s="439"/>
      <c r="AG350" s="439"/>
      <c r="AH350" s="439"/>
      <c r="AI350" s="439"/>
      <c r="AJ350" s="439"/>
      <c r="AK350" s="439"/>
      <c r="AL350" s="439"/>
      <c r="AM350" s="439"/>
      <c r="AN350" s="354">
        <f t="shared" si="78"/>
        <v>0</v>
      </c>
      <c r="AO350" s="355" t="e">
        <f t="shared" si="79"/>
        <v>#DIV/0!</v>
      </c>
    </row>
    <row r="351" spans="1:41" ht="21" hidden="1" x14ac:dyDescent="0.2">
      <c r="A351" s="260" t="s">
        <v>187</v>
      </c>
      <c r="B351" s="261" t="s">
        <v>345</v>
      </c>
      <c r="C351" s="282">
        <v>1</v>
      </c>
      <c r="D351" s="293"/>
      <c r="E351" s="293"/>
      <c r="F351" s="293"/>
      <c r="G351" s="294" t="s">
        <v>705</v>
      </c>
      <c r="H351" s="280"/>
      <c r="I351" s="280"/>
      <c r="J351" s="280"/>
      <c r="K351" s="280"/>
      <c r="L351" s="281"/>
      <c r="M351" s="281"/>
      <c r="N351" s="281"/>
      <c r="O351" s="281"/>
      <c r="P351" s="313"/>
      <c r="Q351" s="313"/>
      <c r="R351" s="313"/>
      <c r="S351" s="313"/>
      <c r="T351" s="313"/>
      <c r="U351" s="313"/>
      <c r="V351" s="313"/>
      <c r="W351" s="313"/>
      <c r="X351" s="313"/>
      <c r="Y351" s="313"/>
      <c r="AN351" s="316">
        <f t="shared" si="78"/>
        <v>0</v>
      </c>
      <c r="AO351" s="323" t="e">
        <f t="shared" si="79"/>
        <v>#DIV/0!</v>
      </c>
    </row>
    <row r="352" spans="1:41" s="356" customFormat="1" ht="18" hidden="1" x14ac:dyDescent="0.2">
      <c r="A352" s="347" t="s">
        <v>670</v>
      </c>
      <c r="B352" s="283" t="s">
        <v>907</v>
      </c>
      <c r="C352" s="348">
        <v>1</v>
      </c>
      <c r="D352" s="349"/>
      <c r="E352" s="349"/>
      <c r="F352" s="349"/>
      <c r="G352" s="350" t="s">
        <v>704</v>
      </c>
      <c r="H352" s="351"/>
      <c r="I352" s="351"/>
      <c r="J352" s="351"/>
      <c r="K352" s="351"/>
      <c r="L352" s="352"/>
      <c r="M352" s="352"/>
      <c r="N352" s="352"/>
      <c r="O352" s="352"/>
      <c r="P352" s="353"/>
      <c r="Q352" s="353"/>
      <c r="R352" s="353"/>
      <c r="S352" s="353"/>
      <c r="T352" s="353"/>
      <c r="U352" s="353"/>
      <c r="V352" s="353"/>
      <c r="W352" s="353"/>
      <c r="X352" s="353"/>
      <c r="Y352" s="353"/>
      <c r="Z352" s="439"/>
      <c r="AA352" s="439"/>
      <c r="AB352" s="439"/>
      <c r="AC352" s="439"/>
      <c r="AD352" s="439"/>
      <c r="AE352" s="439"/>
      <c r="AF352" s="439"/>
      <c r="AG352" s="439"/>
      <c r="AH352" s="439"/>
      <c r="AI352" s="439"/>
      <c r="AJ352" s="439"/>
      <c r="AK352" s="439"/>
      <c r="AL352" s="439"/>
      <c r="AM352" s="439"/>
      <c r="AN352" s="354">
        <f t="shared" si="78"/>
        <v>0</v>
      </c>
      <c r="AO352" s="355" t="e">
        <f t="shared" si="79"/>
        <v>#DIV/0!</v>
      </c>
    </row>
    <row r="353" spans="1:41" hidden="1" x14ac:dyDescent="0.2">
      <c r="A353" s="260" t="s">
        <v>119</v>
      </c>
      <c r="B353" s="261" t="s">
        <v>345</v>
      </c>
      <c r="C353" s="282">
        <v>1</v>
      </c>
      <c r="D353" s="293"/>
      <c r="E353" s="293"/>
      <c r="F353" s="293"/>
      <c r="G353" s="294" t="s">
        <v>705</v>
      </c>
      <c r="H353" s="280"/>
      <c r="I353" s="280"/>
      <c r="J353" s="280"/>
      <c r="K353" s="280"/>
      <c r="L353" s="281"/>
      <c r="M353" s="281"/>
      <c r="N353" s="281"/>
      <c r="O353" s="281"/>
      <c r="P353" s="313"/>
      <c r="Q353" s="313"/>
      <c r="R353" s="313"/>
      <c r="S353" s="313"/>
      <c r="T353" s="313"/>
      <c r="U353" s="313"/>
      <c r="V353" s="313"/>
      <c r="W353" s="313"/>
      <c r="X353" s="313"/>
      <c r="Y353" s="313"/>
      <c r="AN353" s="316">
        <f t="shared" si="78"/>
        <v>0</v>
      </c>
      <c r="AO353" s="323" t="e">
        <f t="shared" si="79"/>
        <v>#DIV/0!</v>
      </c>
    </row>
    <row r="354" spans="1:41" s="356" customFormat="1" ht="18" hidden="1" x14ac:dyDescent="0.2">
      <c r="A354" s="347" t="s">
        <v>670</v>
      </c>
      <c r="B354" s="283" t="s">
        <v>907</v>
      </c>
      <c r="C354" s="348">
        <v>1</v>
      </c>
      <c r="D354" s="349"/>
      <c r="E354" s="349"/>
      <c r="F354" s="349"/>
      <c r="G354" s="350" t="s">
        <v>704</v>
      </c>
      <c r="H354" s="351"/>
      <c r="I354" s="351"/>
      <c r="J354" s="351"/>
      <c r="K354" s="351"/>
      <c r="L354" s="352"/>
      <c r="M354" s="352"/>
      <c r="N354" s="352"/>
      <c r="O354" s="352"/>
      <c r="P354" s="353"/>
      <c r="Q354" s="353"/>
      <c r="R354" s="353"/>
      <c r="S354" s="353"/>
      <c r="T354" s="353"/>
      <c r="U354" s="353"/>
      <c r="V354" s="353"/>
      <c r="W354" s="353"/>
      <c r="X354" s="353"/>
      <c r="Y354" s="353"/>
      <c r="Z354" s="439"/>
      <c r="AA354" s="439"/>
      <c r="AB354" s="439"/>
      <c r="AC354" s="439"/>
      <c r="AD354" s="439"/>
      <c r="AE354" s="439"/>
      <c r="AF354" s="439"/>
      <c r="AG354" s="439"/>
      <c r="AH354" s="439"/>
      <c r="AI354" s="439"/>
      <c r="AJ354" s="439"/>
      <c r="AK354" s="439"/>
      <c r="AL354" s="439"/>
      <c r="AM354" s="439"/>
      <c r="AN354" s="354">
        <f t="shared" si="78"/>
        <v>0</v>
      </c>
      <c r="AO354" s="355" t="e">
        <f t="shared" si="79"/>
        <v>#DIV/0!</v>
      </c>
    </row>
    <row r="355" spans="1:41" ht="21" hidden="1" x14ac:dyDescent="0.2">
      <c r="A355" s="260" t="s">
        <v>120</v>
      </c>
      <c r="B355" s="261" t="s">
        <v>345</v>
      </c>
      <c r="C355" s="282">
        <v>1</v>
      </c>
      <c r="D355" s="293"/>
      <c r="E355" s="293"/>
      <c r="F355" s="293"/>
      <c r="G355" s="294" t="s">
        <v>705</v>
      </c>
      <c r="H355" s="280"/>
      <c r="I355" s="280"/>
      <c r="J355" s="280"/>
      <c r="K355" s="280"/>
      <c r="L355" s="281"/>
      <c r="M355" s="281"/>
      <c r="N355" s="281"/>
      <c r="O355" s="281"/>
      <c r="P355" s="313"/>
      <c r="Q355" s="313"/>
      <c r="R355" s="313"/>
      <c r="S355" s="313"/>
      <c r="T355" s="313"/>
      <c r="U355" s="313"/>
      <c r="V355" s="313"/>
      <c r="W355" s="313"/>
      <c r="X355" s="313"/>
      <c r="Y355" s="313"/>
      <c r="AN355" s="316">
        <f t="shared" si="78"/>
        <v>0</v>
      </c>
      <c r="AO355" s="323" t="e">
        <f t="shared" si="79"/>
        <v>#DIV/0!</v>
      </c>
    </row>
    <row r="356" spans="1:41" s="356" customFormat="1" ht="18" hidden="1" x14ac:dyDescent="0.2">
      <c r="A356" s="347" t="s">
        <v>670</v>
      </c>
      <c r="B356" s="283" t="s">
        <v>907</v>
      </c>
      <c r="C356" s="348">
        <v>1</v>
      </c>
      <c r="D356" s="349"/>
      <c r="E356" s="349"/>
      <c r="F356" s="349"/>
      <c r="G356" s="350" t="s">
        <v>704</v>
      </c>
      <c r="H356" s="351"/>
      <c r="I356" s="351"/>
      <c r="J356" s="351"/>
      <c r="K356" s="351"/>
      <c r="L356" s="352"/>
      <c r="M356" s="352"/>
      <c r="N356" s="352"/>
      <c r="O356" s="352"/>
      <c r="P356" s="353"/>
      <c r="Q356" s="353"/>
      <c r="R356" s="353"/>
      <c r="S356" s="353"/>
      <c r="T356" s="353"/>
      <c r="U356" s="353"/>
      <c r="V356" s="353"/>
      <c r="W356" s="353"/>
      <c r="X356" s="353"/>
      <c r="Y356" s="353"/>
      <c r="Z356" s="439"/>
      <c r="AA356" s="439"/>
      <c r="AB356" s="439"/>
      <c r="AC356" s="439"/>
      <c r="AD356" s="439"/>
      <c r="AE356" s="439"/>
      <c r="AF356" s="439"/>
      <c r="AG356" s="439"/>
      <c r="AH356" s="439"/>
      <c r="AI356" s="439"/>
      <c r="AJ356" s="439"/>
      <c r="AK356" s="439"/>
      <c r="AL356" s="439"/>
      <c r="AM356" s="439"/>
      <c r="AN356" s="354">
        <f t="shared" si="78"/>
        <v>0</v>
      </c>
      <c r="AO356" s="355" t="e">
        <f t="shared" si="79"/>
        <v>#DIV/0!</v>
      </c>
    </row>
    <row r="357" spans="1:41" ht="21" hidden="1" x14ac:dyDescent="0.2">
      <c r="A357" s="260" t="s">
        <v>121</v>
      </c>
      <c r="B357" s="261" t="s">
        <v>345</v>
      </c>
      <c r="C357" s="282">
        <v>1</v>
      </c>
      <c r="D357" s="293"/>
      <c r="E357" s="293"/>
      <c r="F357" s="293"/>
      <c r="G357" s="294" t="s">
        <v>705</v>
      </c>
      <c r="H357" s="280"/>
      <c r="I357" s="280"/>
      <c r="J357" s="280"/>
      <c r="K357" s="280"/>
      <c r="L357" s="281"/>
      <c r="M357" s="281"/>
      <c r="N357" s="281"/>
      <c r="O357" s="281"/>
      <c r="P357" s="313"/>
      <c r="Q357" s="313"/>
      <c r="R357" s="313"/>
      <c r="S357" s="313"/>
      <c r="T357" s="313"/>
      <c r="U357" s="313"/>
      <c r="V357" s="313"/>
      <c r="W357" s="313"/>
      <c r="X357" s="313"/>
      <c r="Y357" s="313"/>
      <c r="AN357" s="316">
        <f t="shared" si="78"/>
        <v>-5930.8883839999926</v>
      </c>
      <c r="AO357" s="323">
        <f t="shared" si="79"/>
        <v>-0.3887536276685718</v>
      </c>
    </row>
    <row r="358" spans="1:41" s="356" customFormat="1" ht="18" hidden="1" x14ac:dyDescent="0.2">
      <c r="A358" s="347" t="s">
        <v>670</v>
      </c>
      <c r="B358" s="283" t="s">
        <v>907</v>
      </c>
      <c r="C358" s="348">
        <v>1</v>
      </c>
      <c r="D358" s="349"/>
      <c r="E358" s="349"/>
      <c r="F358" s="349"/>
      <c r="G358" s="350" t="s">
        <v>704</v>
      </c>
      <c r="H358" s="351"/>
      <c r="I358" s="351"/>
      <c r="J358" s="351"/>
      <c r="K358" s="351"/>
      <c r="L358" s="352"/>
      <c r="M358" s="352"/>
      <c r="N358" s="352"/>
      <c r="O358" s="352"/>
      <c r="P358" s="353"/>
      <c r="Q358" s="353"/>
      <c r="R358" s="353"/>
      <c r="S358" s="353"/>
      <c r="T358" s="353"/>
      <c r="U358" s="353"/>
      <c r="V358" s="353"/>
      <c r="W358" s="353"/>
      <c r="X358" s="353"/>
      <c r="Y358" s="353"/>
      <c r="Z358" s="439"/>
      <c r="AA358" s="439"/>
      <c r="AB358" s="439"/>
      <c r="AC358" s="439"/>
      <c r="AD358" s="439"/>
      <c r="AE358" s="439"/>
      <c r="AF358" s="439"/>
      <c r="AG358" s="439"/>
      <c r="AH358" s="439"/>
      <c r="AI358" s="439"/>
      <c r="AJ358" s="439"/>
      <c r="AK358" s="439"/>
      <c r="AL358" s="439"/>
      <c r="AM358" s="439"/>
      <c r="AN358" s="354">
        <f t="shared" si="78"/>
        <v>-29.147513884753124</v>
      </c>
      <c r="AO358" s="355">
        <f t="shared" si="79"/>
        <v>-0.33575340479661986</v>
      </c>
    </row>
    <row r="359" spans="1:41" ht="31.5" hidden="1" x14ac:dyDescent="0.2">
      <c r="A359" s="260" t="s">
        <v>122</v>
      </c>
      <c r="B359" s="261" t="s">
        <v>345</v>
      </c>
      <c r="C359" s="282">
        <v>1</v>
      </c>
      <c r="D359" s="293"/>
      <c r="E359" s="293"/>
      <c r="F359" s="293"/>
      <c r="G359" s="294" t="s">
        <v>705</v>
      </c>
      <c r="H359" s="280"/>
      <c r="I359" s="280"/>
      <c r="J359" s="280"/>
      <c r="K359" s="280"/>
      <c r="L359" s="281"/>
      <c r="M359" s="281"/>
      <c r="N359" s="281"/>
      <c r="O359" s="281"/>
      <c r="P359" s="313"/>
      <c r="Q359" s="313"/>
      <c r="R359" s="313"/>
      <c r="S359" s="313"/>
      <c r="T359" s="313"/>
      <c r="U359" s="313"/>
      <c r="V359" s="313"/>
      <c r="W359" s="313"/>
      <c r="X359" s="313"/>
      <c r="Y359" s="313"/>
      <c r="AN359" s="316">
        <f t="shared" si="78"/>
        <v>-16.519999999999996</v>
      </c>
      <c r="AO359" s="323">
        <f t="shared" si="79"/>
        <v>-0.3858731196860693</v>
      </c>
    </row>
    <row r="360" spans="1:41" s="356" customFormat="1" ht="18" hidden="1" x14ac:dyDescent="0.2">
      <c r="A360" s="347" t="s">
        <v>670</v>
      </c>
      <c r="B360" s="283" t="s">
        <v>907</v>
      </c>
      <c r="C360" s="348">
        <v>1</v>
      </c>
      <c r="D360" s="349"/>
      <c r="E360" s="349"/>
      <c r="F360" s="349"/>
      <c r="G360" s="350" t="s">
        <v>704</v>
      </c>
      <c r="H360" s="351"/>
      <c r="I360" s="351"/>
      <c r="J360" s="351"/>
      <c r="K360" s="351"/>
      <c r="L360" s="352"/>
      <c r="M360" s="352"/>
      <c r="N360" s="352"/>
      <c r="O360" s="352"/>
      <c r="P360" s="353"/>
      <c r="Q360" s="353"/>
      <c r="R360" s="353"/>
      <c r="S360" s="353"/>
      <c r="T360" s="353"/>
      <c r="U360" s="353"/>
      <c r="V360" s="353"/>
      <c r="W360" s="353"/>
      <c r="X360" s="353"/>
      <c r="Y360" s="353"/>
      <c r="Z360" s="439"/>
      <c r="AA360" s="439"/>
      <c r="AB360" s="439"/>
      <c r="AC360" s="439"/>
      <c r="AD360" s="439"/>
      <c r="AE360" s="439"/>
      <c r="AF360" s="439"/>
      <c r="AG360" s="439"/>
      <c r="AH360" s="439"/>
      <c r="AI360" s="439"/>
      <c r="AJ360" s="439"/>
      <c r="AK360" s="439"/>
      <c r="AL360" s="439"/>
      <c r="AM360" s="439"/>
      <c r="AN360" s="354">
        <f t="shared" si="78"/>
        <v>-1.8133040961052203</v>
      </c>
      <c r="AO360" s="355">
        <f t="shared" si="79"/>
        <v>-3.0348286155896242E-2</v>
      </c>
    </row>
    <row r="361" spans="1:41" ht="21" hidden="1" x14ac:dyDescent="0.2">
      <c r="A361" s="260" t="s">
        <v>123</v>
      </c>
      <c r="B361" s="261" t="s">
        <v>345</v>
      </c>
      <c r="C361" s="282">
        <v>1</v>
      </c>
      <c r="D361" s="293"/>
      <c r="E361" s="293"/>
      <c r="F361" s="293"/>
      <c r="G361" s="294" t="s">
        <v>705</v>
      </c>
      <c r="H361" s="280"/>
      <c r="I361" s="280"/>
      <c r="J361" s="280"/>
      <c r="K361" s="280"/>
      <c r="L361" s="281"/>
      <c r="M361" s="281"/>
      <c r="N361" s="281"/>
      <c r="O361" s="281"/>
      <c r="P361" s="313"/>
      <c r="Q361" s="313"/>
      <c r="R361" s="313"/>
      <c r="S361" s="313"/>
      <c r="T361" s="313"/>
      <c r="U361" s="313"/>
      <c r="V361" s="313"/>
      <c r="W361" s="313"/>
      <c r="X361" s="313"/>
      <c r="Y361" s="313"/>
      <c r="AN361" s="316">
        <f t="shared" si="78"/>
        <v>15.96</v>
      </c>
      <c r="AO361" s="323">
        <f t="shared" si="79"/>
        <v>319.2</v>
      </c>
    </row>
    <row r="362" spans="1:41" s="356" customFormat="1" ht="18" hidden="1" x14ac:dyDescent="0.2">
      <c r="A362" s="347" t="s">
        <v>670</v>
      </c>
      <c r="B362" s="283" t="s">
        <v>907</v>
      </c>
      <c r="C362" s="348">
        <v>1</v>
      </c>
      <c r="D362" s="349"/>
      <c r="E362" s="349"/>
      <c r="F362" s="349"/>
      <c r="G362" s="350" t="s">
        <v>704</v>
      </c>
      <c r="H362" s="351"/>
      <c r="I362" s="351"/>
      <c r="J362" s="351"/>
      <c r="K362" s="351"/>
      <c r="L362" s="352"/>
      <c r="M362" s="352"/>
      <c r="N362" s="352"/>
      <c r="O362" s="352"/>
      <c r="P362" s="353"/>
      <c r="Q362" s="353"/>
      <c r="R362" s="353"/>
      <c r="S362" s="353"/>
      <c r="T362" s="353"/>
      <c r="U362" s="353"/>
      <c r="V362" s="353"/>
      <c r="W362" s="353"/>
      <c r="X362" s="353"/>
      <c r="Y362" s="353"/>
      <c r="Z362" s="439"/>
      <c r="AA362" s="439"/>
      <c r="AB362" s="439"/>
      <c r="AC362" s="439"/>
      <c r="AD362" s="439"/>
      <c r="AE362" s="439"/>
      <c r="AF362" s="439"/>
      <c r="AG362" s="439"/>
      <c r="AH362" s="439"/>
      <c r="AI362" s="439"/>
      <c r="AJ362" s="439"/>
      <c r="AK362" s="439"/>
      <c r="AL362" s="439"/>
      <c r="AM362" s="439"/>
      <c r="AN362" s="354">
        <f t="shared" si="78"/>
        <v>30168.205590482958</v>
      </c>
      <c r="AO362" s="355">
        <f t="shared" si="79"/>
        <v>766.82751698113202</v>
      </c>
    </row>
    <row r="363" spans="1:41" ht="31.5" hidden="1" x14ac:dyDescent="0.2">
      <c r="A363" s="260" t="s">
        <v>124</v>
      </c>
      <c r="B363" s="261" t="s">
        <v>345</v>
      </c>
      <c r="C363" s="282">
        <v>1</v>
      </c>
      <c r="D363" s="293"/>
      <c r="E363" s="293"/>
      <c r="F363" s="293"/>
      <c r="G363" s="294" t="s">
        <v>705</v>
      </c>
      <c r="H363" s="280"/>
      <c r="I363" s="280"/>
      <c r="J363" s="280"/>
      <c r="K363" s="280"/>
      <c r="L363" s="281"/>
      <c r="M363" s="281"/>
      <c r="N363" s="281"/>
      <c r="O363" s="281"/>
      <c r="P363" s="313"/>
      <c r="Q363" s="313"/>
      <c r="R363" s="313"/>
      <c r="S363" s="313"/>
      <c r="T363" s="313"/>
      <c r="U363" s="313"/>
      <c r="V363" s="313"/>
      <c r="W363" s="313"/>
      <c r="X363" s="313"/>
      <c r="Y363" s="313"/>
      <c r="AN363" s="316">
        <f t="shared" si="78"/>
        <v>23.452999999999999</v>
      </c>
      <c r="AO363" s="323">
        <f t="shared" si="79"/>
        <v>8.8136039083051489</v>
      </c>
    </row>
    <row r="364" spans="1:41" s="356" customFormat="1" ht="18" hidden="1" x14ac:dyDescent="0.2">
      <c r="A364" s="347" t="s">
        <v>670</v>
      </c>
      <c r="B364" s="283" t="s">
        <v>907</v>
      </c>
      <c r="C364" s="348">
        <v>1</v>
      </c>
      <c r="D364" s="349"/>
      <c r="E364" s="349"/>
      <c r="F364" s="349"/>
      <c r="G364" s="350" t="s">
        <v>704</v>
      </c>
      <c r="H364" s="351"/>
      <c r="I364" s="351"/>
      <c r="J364" s="351"/>
      <c r="K364" s="351"/>
      <c r="L364" s="352"/>
      <c r="M364" s="352"/>
      <c r="N364" s="352"/>
      <c r="O364" s="352"/>
      <c r="P364" s="353"/>
      <c r="Q364" s="353"/>
      <c r="R364" s="353"/>
      <c r="S364" s="353"/>
      <c r="T364" s="353"/>
      <c r="U364" s="353"/>
      <c r="V364" s="353"/>
      <c r="W364" s="353"/>
      <c r="X364" s="353"/>
      <c r="Y364" s="353"/>
      <c r="Z364" s="439"/>
      <c r="AA364" s="439"/>
      <c r="AB364" s="439"/>
      <c r="AC364" s="439"/>
      <c r="AD364" s="439"/>
      <c r="AE364" s="439"/>
      <c r="AF364" s="439"/>
      <c r="AG364" s="439"/>
      <c r="AH364" s="439"/>
      <c r="AI364" s="439"/>
      <c r="AJ364" s="439"/>
      <c r="AK364" s="439"/>
      <c r="AL364" s="439"/>
      <c r="AM364" s="439"/>
      <c r="AN364" s="354">
        <f t="shared" si="78"/>
        <v>65.980706803551811</v>
      </c>
      <c r="AO364" s="355">
        <f t="shared" si="79"/>
        <v>1.9395084554678692</v>
      </c>
    </row>
    <row r="365" spans="1:41" ht="21" hidden="1" x14ac:dyDescent="0.2">
      <c r="A365" s="260" t="s">
        <v>125</v>
      </c>
      <c r="B365" s="261" t="s">
        <v>345</v>
      </c>
      <c r="C365" s="282">
        <v>1</v>
      </c>
      <c r="D365" s="293"/>
      <c r="E365" s="293"/>
      <c r="F365" s="293"/>
      <c r="G365" s="294" t="s">
        <v>705</v>
      </c>
      <c r="H365" s="280"/>
      <c r="I365" s="280"/>
      <c r="J365" s="280"/>
      <c r="K365" s="280"/>
      <c r="L365" s="281"/>
      <c r="M365" s="281"/>
      <c r="N365" s="281"/>
      <c r="O365" s="281"/>
      <c r="P365" s="313"/>
      <c r="Q365" s="313"/>
      <c r="R365" s="313"/>
      <c r="S365" s="313"/>
      <c r="T365" s="313"/>
      <c r="U365" s="313"/>
      <c r="V365" s="313"/>
      <c r="W365" s="313"/>
      <c r="X365" s="313"/>
      <c r="Y365" s="313"/>
      <c r="AN365" s="316">
        <f t="shared" si="78"/>
        <v>-791.29800000000012</v>
      </c>
      <c r="AO365" s="323">
        <f t="shared" si="79"/>
        <v>-0.72641931198838172</v>
      </c>
    </row>
    <row r="366" spans="1:41" s="356" customFormat="1" ht="18" hidden="1" x14ac:dyDescent="0.2">
      <c r="A366" s="347" t="s">
        <v>670</v>
      </c>
      <c r="B366" s="283" t="s">
        <v>907</v>
      </c>
      <c r="C366" s="348">
        <v>1</v>
      </c>
      <c r="D366" s="349"/>
      <c r="E366" s="349"/>
      <c r="F366" s="349"/>
      <c r="G366" s="350" t="s">
        <v>704</v>
      </c>
      <c r="H366" s="351"/>
      <c r="I366" s="351"/>
      <c r="J366" s="351"/>
      <c r="K366" s="351"/>
      <c r="L366" s="352"/>
      <c r="M366" s="352"/>
      <c r="N366" s="352"/>
      <c r="O366" s="352"/>
      <c r="P366" s="353"/>
      <c r="Q366" s="353"/>
      <c r="R366" s="353"/>
      <c r="S366" s="353"/>
      <c r="T366" s="353"/>
      <c r="U366" s="353"/>
      <c r="V366" s="353"/>
      <c r="W366" s="353"/>
      <c r="X366" s="353"/>
      <c r="Y366" s="353"/>
      <c r="Z366" s="439"/>
      <c r="AA366" s="439"/>
      <c r="AB366" s="439"/>
      <c r="AC366" s="439"/>
      <c r="AD366" s="439"/>
      <c r="AE366" s="439"/>
      <c r="AF366" s="439"/>
      <c r="AG366" s="439"/>
      <c r="AH366" s="439"/>
      <c r="AI366" s="439"/>
      <c r="AJ366" s="439"/>
      <c r="AK366" s="439"/>
      <c r="AL366" s="439"/>
      <c r="AM366" s="439"/>
      <c r="AN366" s="354">
        <f t="shared" si="78"/>
        <v>-98.803328560345733</v>
      </c>
      <c r="AO366" s="355">
        <f t="shared" si="79"/>
        <v>-0.79288248728927957</v>
      </c>
    </row>
    <row r="367" spans="1:41" hidden="1" x14ac:dyDescent="0.2">
      <c r="A367" s="260" t="s">
        <v>126</v>
      </c>
      <c r="B367" s="261" t="s">
        <v>345</v>
      </c>
      <c r="C367" s="282">
        <v>1</v>
      </c>
      <c r="D367" s="293"/>
      <c r="E367" s="293"/>
      <c r="F367" s="293"/>
      <c r="G367" s="294" t="s">
        <v>705</v>
      </c>
      <c r="H367" s="280"/>
      <c r="I367" s="280"/>
      <c r="J367" s="280"/>
      <c r="K367" s="280"/>
      <c r="L367" s="281"/>
      <c r="M367" s="281"/>
      <c r="N367" s="281"/>
      <c r="O367" s="281"/>
      <c r="P367" s="313"/>
      <c r="Q367" s="313"/>
      <c r="R367" s="313"/>
      <c r="S367" s="313"/>
      <c r="T367" s="313"/>
      <c r="U367" s="313"/>
      <c r="V367" s="313"/>
      <c r="W367" s="313"/>
      <c r="X367" s="313"/>
      <c r="Y367" s="313"/>
      <c r="AN367" s="316">
        <f t="shared" si="78"/>
        <v>0</v>
      </c>
      <c r="AO367" s="323" t="e">
        <f t="shared" si="79"/>
        <v>#DIV/0!</v>
      </c>
    </row>
    <row r="368" spans="1:41" s="356" customFormat="1" ht="18" hidden="1" x14ac:dyDescent="0.2">
      <c r="A368" s="347" t="s">
        <v>670</v>
      </c>
      <c r="B368" s="283" t="s">
        <v>907</v>
      </c>
      <c r="C368" s="348">
        <v>1</v>
      </c>
      <c r="D368" s="349"/>
      <c r="E368" s="349"/>
      <c r="F368" s="349"/>
      <c r="G368" s="350" t="s">
        <v>704</v>
      </c>
      <c r="H368" s="351"/>
      <c r="I368" s="351"/>
      <c r="J368" s="351"/>
      <c r="K368" s="351"/>
      <c r="L368" s="352"/>
      <c r="M368" s="352"/>
      <c r="N368" s="352"/>
      <c r="O368" s="352"/>
      <c r="P368" s="353"/>
      <c r="Q368" s="353"/>
      <c r="R368" s="353"/>
      <c r="S368" s="353"/>
      <c r="T368" s="353"/>
      <c r="U368" s="353"/>
      <c r="V368" s="353"/>
      <c r="W368" s="353"/>
      <c r="X368" s="353"/>
      <c r="Y368" s="353"/>
      <c r="Z368" s="439"/>
      <c r="AA368" s="439"/>
      <c r="AB368" s="439"/>
      <c r="AC368" s="439"/>
      <c r="AD368" s="439"/>
      <c r="AE368" s="439"/>
      <c r="AF368" s="439"/>
      <c r="AG368" s="439"/>
      <c r="AH368" s="439"/>
      <c r="AI368" s="439"/>
      <c r="AJ368" s="439"/>
      <c r="AK368" s="439"/>
      <c r="AL368" s="439"/>
      <c r="AM368" s="439"/>
      <c r="AN368" s="354">
        <f t="shared" si="78"/>
        <v>0</v>
      </c>
      <c r="AO368" s="355" t="e">
        <f t="shared" si="79"/>
        <v>#DIV/0!</v>
      </c>
    </row>
    <row r="369" spans="1:41" ht="21" x14ac:dyDescent="0.2">
      <c r="A369" s="260" t="s">
        <v>79</v>
      </c>
      <c r="B369" s="261" t="s">
        <v>345</v>
      </c>
      <c r="C369" s="282">
        <v>1</v>
      </c>
      <c r="D369" s="293"/>
      <c r="E369" s="293"/>
      <c r="F369" s="293"/>
      <c r="G369" s="294" t="s">
        <v>705</v>
      </c>
      <c r="H369" s="280"/>
      <c r="I369" s="280"/>
      <c r="J369" s="280"/>
      <c r="K369" s="280"/>
      <c r="L369" s="281">
        <f>L325-L329-L331-L333-L339-L371-L373-L375-L377-L379-L381-L383-L385-L387-L389</f>
        <v>2440.3089999999997</v>
      </c>
      <c r="M369" s="281">
        <f t="shared" ref="M369:Y369" si="83">M325-M329-M331-M333-M339-M371-M373-M375-M377-M379-M381-M383-M385-M387-M389</f>
        <v>2964.6979999999994</v>
      </c>
      <c r="N369" s="281">
        <f t="shared" si="83"/>
        <v>6640.9999999999991</v>
      </c>
      <c r="O369" s="281">
        <f t="shared" si="83"/>
        <v>16454.812999999998</v>
      </c>
      <c r="P369" s="281">
        <f t="shared" si="83"/>
        <v>15256.162159999994</v>
      </c>
      <c r="Q369" s="281">
        <f t="shared" si="83"/>
        <v>9325.2737760000018</v>
      </c>
      <c r="R369" s="281">
        <f t="shared" si="83"/>
        <v>5598.1392621678551</v>
      </c>
      <c r="S369" s="281">
        <f t="shared" si="83"/>
        <v>3837.3690185278324</v>
      </c>
      <c r="T369" s="281">
        <f t="shared" si="83"/>
        <v>2201.427214782037</v>
      </c>
      <c r="U369" s="281">
        <f t="shared" si="83"/>
        <v>3225.8398431431651</v>
      </c>
      <c r="V369" s="281">
        <f t="shared" si="83"/>
        <v>2354.5483856811561</v>
      </c>
      <c r="W369" s="281">
        <f t="shared" si="83"/>
        <v>3473.1327255185197</v>
      </c>
      <c r="X369" s="281">
        <f t="shared" si="83"/>
        <v>2500.2912970036218</v>
      </c>
      <c r="Y369" s="281">
        <f t="shared" si="83"/>
        <v>3732.3673521512233</v>
      </c>
      <c r="AN369" s="316">
        <f t="shared" si="78"/>
        <v>67.460000000000008</v>
      </c>
      <c r="AO369" s="323">
        <f t="shared" si="79"/>
        <v>8.6199846664962951</v>
      </c>
    </row>
    <row r="370" spans="1:41" s="356" customFormat="1" ht="18" x14ac:dyDescent="0.2">
      <c r="A370" s="347" t="s">
        <v>670</v>
      </c>
      <c r="B370" s="283" t="s">
        <v>907</v>
      </c>
      <c r="C370" s="348">
        <v>1</v>
      </c>
      <c r="D370" s="349"/>
      <c r="E370" s="349"/>
      <c r="F370" s="349"/>
      <c r="G370" s="350" t="s">
        <v>704</v>
      </c>
      <c r="H370" s="351"/>
      <c r="I370" s="351"/>
      <c r="J370" s="351"/>
      <c r="K370" s="351"/>
      <c r="L370" s="352">
        <v>163.9</v>
      </c>
      <c r="M370" s="352">
        <f>M369/(M$327/100)/L369*100</f>
        <v>115.70345824081723</v>
      </c>
      <c r="N370" s="352">
        <f>N369/(N$327/100)/M369*100</f>
        <v>207.60202010138872</v>
      </c>
      <c r="O370" s="352">
        <f>O369/(O$327/100)/N369*100</f>
        <v>227.73541646367929</v>
      </c>
      <c r="P370" s="353">
        <f>P369/(P$327/100)/O369*100</f>
        <v>86.812265991491628</v>
      </c>
      <c r="Q370" s="353">
        <f>Q369/(Q$327/100)/P369*100</f>
        <v>57.664752106738504</v>
      </c>
      <c r="R370" s="353">
        <f>AVERAGE(O370,P370,Q370)</f>
        <v>124.07081152063647</v>
      </c>
      <c r="S370" s="353">
        <f>AVERAGE(P370,Q370,R370)</f>
        <v>89.515943206288867</v>
      </c>
      <c r="T370" s="353">
        <f>AVERAGE(Q370,R370,S370)</f>
        <v>90.417168944554604</v>
      </c>
      <c r="U370" s="353"/>
      <c r="V370" s="353">
        <f>AVERAGE(R370,S370,T370)</f>
        <v>101.33464122382664</v>
      </c>
      <c r="W370" s="353"/>
      <c r="X370" s="353">
        <f>AVERAGE(S370,T370,V370)</f>
        <v>93.755917791556712</v>
      </c>
      <c r="Y370" s="353"/>
      <c r="Z370" s="439"/>
      <c r="AA370" s="439"/>
      <c r="AB370" s="439"/>
      <c r="AC370" s="439"/>
      <c r="AD370" s="439"/>
      <c r="AE370" s="439"/>
      <c r="AF370" s="439"/>
      <c r="AG370" s="439"/>
      <c r="AH370" s="439"/>
      <c r="AI370" s="439"/>
      <c r="AJ370" s="439"/>
      <c r="AK370" s="439"/>
      <c r="AL370" s="439"/>
      <c r="AM370" s="439"/>
      <c r="AN370" s="354">
        <f t="shared" si="78"/>
        <v>-9.5978964374101565</v>
      </c>
      <c r="AO370" s="355">
        <f t="shared" si="79"/>
        <v>-8.7573728596984313E-2</v>
      </c>
    </row>
    <row r="371" spans="1:41" x14ac:dyDescent="0.2">
      <c r="A371" s="260" t="s">
        <v>80</v>
      </c>
      <c r="B371" s="261" t="s">
        <v>345</v>
      </c>
      <c r="C371" s="282">
        <v>1</v>
      </c>
      <c r="D371" s="293"/>
      <c r="E371" s="293"/>
      <c r="F371" s="293"/>
      <c r="G371" s="294" t="s">
        <v>705</v>
      </c>
      <c r="H371" s="280"/>
      <c r="I371" s="280"/>
      <c r="J371" s="280"/>
      <c r="K371" s="280"/>
      <c r="L371" s="281">
        <v>6.59</v>
      </c>
      <c r="M371" s="281">
        <v>6.59</v>
      </c>
      <c r="N371" s="281">
        <v>101.762</v>
      </c>
      <c r="O371" s="281">
        <v>67.09</v>
      </c>
      <c r="P371" s="313">
        <v>42.811999999999998</v>
      </c>
      <c r="Q371" s="313">
        <v>26.292000000000002</v>
      </c>
      <c r="R371" s="313">
        <f>Q371*R$327/100*R372/100</f>
        <v>16.140265842014774</v>
      </c>
      <c r="S371" s="313">
        <f>R371*S$327/100*S372/100</f>
        <v>10.348357262853298</v>
      </c>
      <c r="T371" s="313">
        <f>S371*T$327/100*T372/100</f>
        <v>6.5290935741400391</v>
      </c>
      <c r="U371" s="313"/>
      <c r="V371" s="313">
        <f>T371*V$327/100*V372/100</f>
        <v>4.1087190903368755</v>
      </c>
      <c r="W371" s="313"/>
      <c r="X371" s="313">
        <f>V371*X$327/100*X372/100</f>
        <v>2.5733813863552792</v>
      </c>
      <c r="Y371" s="313"/>
      <c r="AN371" s="316">
        <f t="shared" si="78"/>
        <v>23.315999999999995</v>
      </c>
      <c r="AO371" s="323">
        <f t="shared" si="79"/>
        <v>2.2919492774992625</v>
      </c>
    </row>
    <row r="372" spans="1:41" s="356" customFormat="1" ht="18" x14ac:dyDescent="0.2">
      <c r="A372" s="347" t="s">
        <v>670</v>
      </c>
      <c r="B372" s="283" t="s">
        <v>907</v>
      </c>
      <c r="C372" s="348">
        <v>1</v>
      </c>
      <c r="D372" s="349"/>
      <c r="E372" s="349"/>
      <c r="F372" s="349"/>
      <c r="G372" s="350" t="s">
        <v>704</v>
      </c>
      <c r="H372" s="351"/>
      <c r="I372" s="351"/>
      <c r="J372" s="351"/>
      <c r="K372" s="351"/>
      <c r="L372" s="352">
        <v>2.99</v>
      </c>
      <c r="M372" s="352">
        <f>M371/(M$327/100)/L371*100</f>
        <v>95.238095238095241</v>
      </c>
      <c r="N372" s="352">
        <f>N371/(N$327/100)/M371*100</f>
        <v>1431.128974869948</v>
      </c>
      <c r="O372" s="352">
        <f>O371/(O$327/100)/N371*100</f>
        <v>60.595903128060058</v>
      </c>
      <c r="P372" s="353">
        <f>P371/(P$327/100)/O371*100</f>
        <v>59.749802238928865</v>
      </c>
      <c r="Q372" s="353">
        <f>Q371/(Q$327/100)/P371*100</f>
        <v>57.936498142823645</v>
      </c>
      <c r="R372" s="353">
        <f>AVERAGE(O372,P372,Q372)</f>
        <v>59.427401169937525</v>
      </c>
      <c r="S372" s="353">
        <f>AVERAGE(P372,Q372,R372)</f>
        <v>59.037900517230014</v>
      </c>
      <c r="T372" s="353">
        <f>AVERAGE(Q372,R372,S372)</f>
        <v>58.80059994333039</v>
      </c>
      <c r="U372" s="353"/>
      <c r="V372" s="353">
        <f>AVERAGE(R372,S372,T372)</f>
        <v>59.088633876832638</v>
      </c>
      <c r="W372" s="353"/>
      <c r="X372" s="353">
        <f>AVERAGE(S372,T372,V372)</f>
        <v>58.975711445797678</v>
      </c>
      <c r="Y372" s="353"/>
      <c r="Z372" s="439"/>
      <c r="AA372" s="439"/>
      <c r="AB372" s="439"/>
      <c r="AC372" s="439"/>
      <c r="AD372" s="439"/>
      <c r="AE372" s="439"/>
      <c r="AF372" s="439"/>
      <c r="AG372" s="439"/>
      <c r="AH372" s="439"/>
      <c r="AI372" s="439"/>
      <c r="AJ372" s="439"/>
      <c r="AK372" s="439"/>
      <c r="AL372" s="439"/>
      <c r="AM372" s="439"/>
      <c r="AN372" s="354">
        <f t="shared" si="78"/>
        <v>10.569139997404889</v>
      </c>
      <c r="AO372" s="355">
        <f t="shared" si="79"/>
        <v>0.11818224712474179</v>
      </c>
    </row>
    <row r="373" spans="1:41" ht="42" x14ac:dyDescent="0.2">
      <c r="A373" s="260" t="s">
        <v>81</v>
      </c>
      <c r="B373" s="261" t="s">
        <v>345</v>
      </c>
      <c r="C373" s="282">
        <v>1</v>
      </c>
      <c r="D373" s="293"/>
      <c r="E373" s="293"/>
      <c r="F373" s="293"/>
      <c r="G373" s="294" t="s">
        <v>705</v>
      </c>
      <c r="H373" s="280"/>
      <c r="I373" s="280"/>
      <c r="J373" s="280"/>
      <c r="K373" s="280"/>
      <c r="L373" s="281">
        <v>0.78</v>
      </c>
      <c r="M373" s="281">
        <v>0.78</v>
      </c>
      <c r="N373" s="281">
        <v>0.51100000000000001</v>
      </c>
      <c r="O373" s="281">
        <v>0.11899999999999999</v>
      </c>
      <c r="P373" s="313">
        <v>0.05</v>
      </c>
      <c r="Q373" s="313">
        <v>16.010000000000002</v>
      </c>
      <c r="R373" s="313">
        <f>Q373*R$327/100*R374/100</f>
        <v>16.7037133</v>
      </c>
      <c r="S373" s="313">
        <f>R373*S$327/100*S374/100</f>
        <v>18.321634970238001</v>
      </c>
      <c r="T373" s="313">
        <f>S373*T$327/100*T374/100</f>
        <v>19.85570546629603</v>
      </c>
      <c r="U373" s="313"/>
      <c r="V373" s="313">
        <f>T373*V$327/100*V374/100</f>
        <v>21.357789584821322</v>
      </c>
      <c r="W373" s="313"/>
      <c r="X373" s="313">
        <f>V373*X$327/100*X374/100</f>
        <v>22.908792264471046</v>
      </c>
      <c r="Y373" s="313"/>
      <c r="AN373" s="316">
        <f t="shared" si="78"/>
        <v>-16.292000000000002</v>
      </c>
      <c r="AO373" s="323">
        <f t="shared" si="79"/>
        <v>-0.21870804918648978</v>
      </c>
    </row>
    <row r="374" spans="1:41" s="356" customFormat="1" ht="18" x14ac:dyDescent="0.2">
      <c r="A374" s="347" t="s">
        <v>670</v>
      </c>
      <c r="B374" s="283" t="s">
        <v>907</v>
      </c>
      <c r="C374" s="348">
        <v>1</v>
      </c>
      <c r="D374" s="349"/>
      <c r="E374" s="349"/>
      <c r="F374" s="349"/>
      <c r="G374" s="350" t="s">
        <v>704</v>
      </c>
      <c r="H374" s="351"/>
      <c r="I374" s="351"/>
      <c r="J374" s="351"/>
      <c r="K374" s="351"/>
      <c r="L374" s="352">
        <v>0</v>
      </c>
      <c r="M374" s="352">
        <f>M373/(M$327/100)/L373*100</f>
        <v>95.238095238095227</v>
      </c>
      <c r="N374" s="352">
        <f>N373/(N$327/100)/M373*100</f>
        <v>60.716237731993061</v>
      </c>
      <c r="O374" s="352">
        <f>O373/(O$327/100)/N373*100</f>
        <v>21.404109589041092</v>
      </c>
      <c r="P374" s="353">
        <f>P373/(P$327/100)/O373*100</f>
        <v>39.341579328360559</v>
      </c>
      <c r="Q374" s="353">
        <f>Q373/(Q$327/100)/P373*100</f>
        <v>30207.547169811318</v>
      </c>
      <c r="R374" s="353">
        <v>101</v>
      </c>
      <c r="S374" s="353">
        <v>101</v>
      </c>
      <c r="T374" s="353">
        <v>101</v>
      </c>
      <c r="U374" s="353"/>
      <c r="V374" s="353">
        <f>AVERAGE(R374,S374,T374)</f>
        <v>101</v>
      </c>
      <c r="W374" s="353"/>
      <c r="X374" s="353">
        <f>AVERAGE(S374,T374,V374)</f>
        <v>101</v>
      </c>
      <c r="Y374" s="353"/>
      <c r="Z374" s="439"/>
      <c r="AA374" s="439"/>
      <c r="AB374" s="439"/>
      <c r="AC374" s="439"/>
      <c r="AD374" s="439"/>
      <c r="AE374" s="439"/>
      <c r="AF374" s="439"/>
      <c r="AG374" s="439"/>
      <c r="AH374" s="439"/>
      <c r="AI374" s="439"/>
      <c r="AJ374" s="439"/>
      <c r="AK374" s="439"/>
      <c r="AL374" s="439"/>
      <c r="AM374" s="439"/>
      <c r="AN374" s="354">
        <f t="shared" si="78"/>
        <v>-26.293212187404706</v>
      </c>
      <c r="AO374" s="355">
        <f t="shared" si="79"/>
        <v>-0.26293212187404702</v>
      </c>
    </row>
    <row r="375" spans="1:41" x14ac:dyDescent="0.2">
      <c r="A375" s="260" t="s">
        <v>127</v>
      </c>
      <c r="B375" s="261" t="s">
        <v>345</v>
      </c>
      <c r="C375" s="282">
        <v>1</v>
      </c>
      <c r="D375" s="293"/>
      <c r="E375" s="293"/>
      <c r="F375" s="293"/>
      <c r="G375" s="294" t="s">
        <v>705</v>
      </c>
      <c r="H375" s="280"/>
      <c r="I375" s="280"/>
      <c r="J375" s="280"/>
      <c r="K375" s="280"/>
      <c r="L375" s="281">
        <v>0.08</v>
      </c>
      <c r="M375" s="281">
        <v>70</v>
      </c>
      <c r="N375" s="281">
        <v>101.76300000000001</v>
      </c>
      <c r="O375" s="281">
        <v>7.3239999999999998</v>
      </c>
      <c r="P375" s="313">
        <v>2.661</v>
      </c>
      <c r="Q375" s="313">
        <v>26.114000000000001</v>
      </c>
      <c r="R375" s="313">
        <f>Q375*R$327/100*R376/100</f>
        <v>12.645723649957434</v>
      </c>
      <c r="S375" s="313">
        <f>R375*S$327/100*S376/100</f>
        <v>8.2810337891273154</v>
      </c>
      <c r="T375" s="313">
        <f>S375*T$327/100*T376/100</f>
        <v>6.1362781526395622</v>
      </c>
      <c r="U375" s="313"/>
      <c r="V375" s="313">
        <f>T375*V$327/100*V376/100</f>
        <v>3.8390941261609117</v>
      </c>
      <c r="W375" s="313"/>
      <c r="X375" s="313">
        <f>V375*X$327/100*X376/100</f>
        <v>2.5564024156021676</v>
      </c>
      <c r="Y375" s="313"/>
      <c r="AN375" s="316">
        <f>Q387-P387</f>
        <v>19.165000000000006</v>
      </c>
      <c r="AO375" s="323">
        <f>Q387/P387-100%</f>
        <v>0.37616047419969001</v>
      </c>
    </row>
    <row r="376" spans="1:41" s="356" customFormat="1" ht="18" x14ac:dyDescent="0.2">
      <c r="A376" s="347" t="s">
        <v>670</v>
      </c>
      <c r="B376" s="283" t="s">
        <v>907</v>
      </c>
      <c r="C376" s="348">
        <v>1</v>
      </c>
      <c r="D376" s="349"/>
      <c r="E376" s="349"/>
      <c r="F376" s="349"/>
      <c r="G376" s="350" t="s">
        <v>704</v>
      </c>
      <c r="H376" s="351"/>
      <c r="I376" s="351"/>
      <c r="J376" s="351"/>
      <c r="K376" s="351"/>
      <c r="L376" s="352">
        <v>16.73</v>
      </c>
      <c r="M376" s="352"/>
      <c r="N376" s="352">
        <f>N375/(N$327/100)/M375*100</f>
        <v>134.73189461141271</v>
      </c>
      <c r="O376" s="352">
        <f>O375/(O$327/100)/N375*100</f>
        <v>6.6149952802677019</v>
      </c>
      <c r="P376" s="353">
        <f>P375/(P$327/100)/O375*100</f>
        <v>34.019293196448189</v>
      </c>
      <c r="Q376" s="353">
        <v>100</v>
      </c>
      <c r="R376" s="353">
        <f>AVERAGE(O376,P376,Q376)</f>
        <v>46.878096158905294</v>
      </c>
      <c r="S376" s="353">
        <f>AVERAGE(P376,Q376,R376)</f>
        <v>60.299129785117827</v>
      </c>
      <c r="T376" s="353">
        <f>AVERAGE(Q376,R376,S376)</f>
        <v>69.059075314674374</v>
      </c>
      <c r="U376" s="353"/>
      <c r="V376" s="353">
        <f>AVERAGE(R376,S376,T376)</f>
        <v>58.745433752899167</v>
      </c>
      <c r="W376" s="353"/>
      <c r="X376" s="353">
        <f>AVERAGE(S376,T376,V376)</f>
        <v>62.701212950897123</v>
      </c>
      <c r="Y376" s="353"/>
      <c r="Z376" s="439"/>
      <c r="AA376" s="439"/>
      <c r="AB376" s="439"/>
      <c r="AC376" s="439"/>
      <c r="AD376" s="439"/>
      <c r="AE376" s="439"/>
      <c r="AF376" s="439"/>
      <c r="AG376" s="439"/>
      <c r="AH376" s="439"/>
      <c r="AI376" s="439"/>
      <c r="AJ376" s="439"/>
      <c r="AK376" s="439"/>
      <c r="AL376" s="439"/>
      <c r="AM376" s="439"/>
      <c r="AN376" s="354">
        <f>Q388-P388</f>
        <v>30.409394203184092</v>
      </c>
      <c r="AO376" s="355">
        <f>Q388/P388-100%</f>
        <v>0.43697556379909352</v>
      </c>
    </row>
    <row r="377" spans="1:41" x14ac:dyDescent="0.2">
      <c r="A377" s="260" t="s">
        <v>128</v>
      </c>
      <c r="B377" s="261" t="s">
        <v>345</v>
      </c>
      <c r="C377" s="282">
        <v>1</v>
      </c>
      <c r="D377" s="293"/>
      <c r="E377" s="293"/>
      <c r="F377" s="293"/>
      <c r="G377" s="294" t="s">
        <v>705</v>
      </c>
      <c r="H377" s="280"/>
      <c r="I377" s="280"/>
      <c r="J377" s="280"/>
      <c r="K377" s="280"/>
      <c r="L377" s="281">
        <v>3.62</v>
      </c>
      <c r="M377" s="281">
        <v>30</v>
      </c>
      <c r="N377" s="281">
        <v>61.322000000000003</v>
      </c>
      <c r="O377" s="281">
        <v>818.5</v>
      </c>
      <c r="P377" s="313">
        <v>1089.3130000000001</v>
      </c>
      <c r="Q377" s="313">
        <v>298.01499999999999</v>
      </c>
      <c r="R377" s="313">
        <f>Q377*R$327/100*R378/100</f>
        <v>256.97462229227875</v>
      </c>
      <c r="S377" s="313">
        <f>R377*S$327/100*S378/100</f>
        <v>217.58172196349639</v>
      </c>
      <c r="T377" s="313">
        <f>S377*T$327/100*T378/100</f>
        <v>145.72047667031759</v>
      </c>
      <c r="U377" s="313"/>
      <c r="V377" s="313">
        <f>T377*V$327/100*V378/100</f>
        <v>115.80240441872144</v>
      </c>
      <c r="W377" s="313"/>
      <c r="X377" s="313">
        <f>V377*X$327/100*X378/100</f>
        <v>88.137410897461208</v>
      </c>
      <c r="Y377" s="313"/>
      <c r="AN377" s="316">
        <f>Q389-P389</f>
        <v>-99.64200000000001</v>
      </c>
      <c r="AO377" s="323">
        <f>Q389/P389-100%</f>
        <v>-0.89154729203761529</v>
      </c>
    </row>
    <row r="378" spans="1:41" s="356" customFormat="1" ht="18" x14ac:dyDescent="0.2">
      <c r="A378" s="347" t="s">
        <v>670</v>
      </c>
      <c r="B378" s="283" t="s">
        <v>907</v>
      </c>
      <c r="C378" s="348">
        <v>1</v>
      </c>
      <c r="D378" s="349"/>
      <c r="E378" s="349"/>
      <c r="F378" s="349"/>
      <c r="G378" s="350" t="s">
        <v>704</v>
      </c>
      <c r="H378" s="351"/>
      <c r="I378" s="351"/>
      <c r="J378" s="351"/>
      <c r="K378" s="351"/>
      <c r="L378" s="352">
        <v>13.34</v>
      </c>
      <c r="M378" s="352">
        <f>M377/(M$327/100)/L377*100</f>
        <v>789.26598263614835</v>
      </c>
      <c r="N378" s="352">
        <f>N377/(N$327/100)/M377*100</f>
        <v>189.44084028421381</v>
      </c>
      <c r="O378" s="352">
        <v>100</v>
      </c>
      <c r="P378" s="353">
        <f>P377/(P$327/100)/O377*100</f>
        <v>124.61282742936632</v>
      </c>
      <c r="Q378" s="353">
        <f>Q377/(Q$327/100)/P377*100</f>
        <v>25.80949886902059</v>
      </c>
      <c r="R378" s="353">
        <f>AVERAGE(O378,P378,Q378)</f>
        <v>83.474108766128964</v>
      </c>
      <c r="S378" s="353">
        <f>AVERAGE(P378,Q378,R378)</f>
        <v>77.965478354838623</v>
      </c>
      <c r="T378" s="353">
        <f>AVERAGE(Q378,R378,S378)</f>
        <v>62.416361996662722</v>
      </c>
      <c r="U378" s="353"/>
      <c r="V378" s="353">
        <f>AVERAGE(R378,S378,T378)</f>
        <v>74.618649705876763</v>
      </c>
      <c r="W378" s="353"/>
      <c r="X378" s="353">
        <f>AVERAGE(S378,T378,V378)</f>
        <v>71.666830019126039</v>
      </c>
      <c r="Y378" s="353"/>
      <c r="Z378" s="439"/>
      <c r="AA378" s="439"/>
      <c r="AB378" s="439"/>
      <c r="AC378" s="439"/>
      <c r="AD378" s="439"/>
      <c r="AE378" s="439"/>
      <c r="AF378" s="439"/>
      <c r="AG378" s="439"/>
      <c r="AH378" s="439"/>
      <c r="AI378" s="439"/>
      <c r="AJ378" s="439"/>
      <c r="AK378" s="439"/>
      <c r="AL378" s="439"/>
      <c r="AM378" s="439"/>
      <c r="AN378" s="354">
        <f>Q390-P390</f>
        <v>-89.768612456378804</v>
      </c>
      <c r="AO378" s="355">
        <f>Q390/P390-100%</f>
        <v>-0.89768612456378805</v>
      </c>
    </row>
    <row r="379" spans="1:41" x14ac:dyDescent="0.2">
      <c r="A379" s="260" t="s">
        <v>129</v>
      </c>
      <c r="B379" s="261" t="s">
        <v>345</v>
      </c>
      <c r="C379" s="282">
        <v>1</v>
      </c>
      <c r="D379" s="293"/>
      <c r="E379" s="293"/>
      <c r="F379" s="293"/>
      <c r="G379" s="294" t="s">
        <v>705</v>
      </c>
      <c r="H379" s="280"/>
      <c r="I379" s="280"/>
      <c r="J379" s="280"/>
      <c r="K379" s="280"/>
      <c r="L379" s="281"/>
      <c r="M379" s="281"/>
      <c r="N379" s="281"/>
      <c r="O379" s="281"/>
      <c r="P379" s="313"/>
      <c r="Q379" s="313"/>
      <c r="R379" s="313"/>
      <c r="S379" s="313"/>
      <c r="T379" s="313"/>
      <c r="U379" s="313"/>
      <c r="V379" s="313"/>
      <c r="W379" s="313"/>
      <c r="X379" s="313"/>
      <c r="Y379" s="313"/>
      <c r="AN379" s="316" t="e">
        <f>#REF!-#REF!</f>
        <v>#REF!</v>
      </c>
      <c r="AO379" s="323" t="e">
        <f>#REF!/#REF!-100%</f>
        <v>#REF!</v>
      </c>
    </row>
    <row r="380" spans="1:41" ht="18" x14ac:dyDescent="0.2">
      <c r="A380" s="347" t="s">
        <v>670</v>
      </c>
      <c r="B380" s="283" t="s">
        <v>907</v>
      </c>
      <c r="C380" s="282">
        <v>1</v>
      </c>
      <c r="D380" s="293"/>
      <c r="E380" s="293"/>
      <c r="F380" s="293"/>
      <c r="G380" s="294" t="s">
        <v>704</v>
      </c>
      <c r="H380" s="280"/>
      <c r="I380" s="280"/>
      <c r="J380" s="280"/>
      <c r="K380" s="280"/>
      <c r="L380" s="352"/>
      <c r="M380" s="352"/>
      <c r="N380" s="352"/>
      <c r="O380" s="352"/>
      <c r="P380" s="353"/>
      <c r="Q380" s="353"/>
      <c r="R380" s="353"/>
      <c r="S380" s="353"/>
      <c r="T380" s="353"/>
      <c r="U380" s="353"/>
      <c r="V380" s="353"/>
      <c r="W380" s="353"/>
      <c r="X380" s="353"/>
      <c r="Y380" s="353"/>
      <c r="Z380" s="439"/>
      <c r="AN380" s="316" t="e">
        <f>#REF!-#REF!</f>
        <v>#REF!</v>
      </c>
      <c r="AO380" s="323" t="e">
        <f>#REF!/#REF!-100%</f>
        <v>#REF!</v>
      </c>
    </row>
    <row r="381" spans="1:41" s="390" customFormat="1" ht="31.5" x14ac:dyDescent="0.2">
      <c r="A381" s="260" t="s">
        <v>130</v>
      </c>
      <c r="B381" s="261" t="s">
        <v>345</v>
      </c>
      <c r="C381" s="393"/>
      <c r="D381" s="296"/>
      <c r="E381" s="296"/>
      <c r="F381" s="296"/>
      <c r="G381" s="297"/>
      <c r="H381" s="394"/>
      <c r="I381" s="394"/>
      <c r="J381" s="394"/>
      <c r="K381" s="394"/>
      <c r="L381" s="281">
        <v>6.54</v>
      </c>
      <c r="M381" s="281">
        <v>6.54</v>
      </c>
      <c r="N381" s="281">
        <v>25.218</v>
      </c>
      <c r="O381" s="281">
        <v>6.6859999999999999</v>
      </c>
      <c r="P381" s="313">
        <v>7.8259999999999996</v>
      </c>
      <c r="Q381" s="313">
        <v>75.286000000000001</v>
      </c>
      <c r="R381" s="313">
        <f>Q381*R$327/100*R382/100</f>
        <v>60.652201909549809</v>
      </c>
      <c r="S381" s="313">
        <f>R381*S$327/100*S382/100</f>
        <v>63.142805979462047</v>
      </c>
      <c r="T381" s="313">
        <f>S381*T$327/100*T382/100</f>
        <v>61.846716397630537</v>
      </c>
      <c r="U381" s="313"/>
      <c r="V381" s="313">
        <f>T381*V$327/100*V382/100</f>
        <v>58.211859938701629</v>
      </c>
      <c r="W381" s="313"/>
      <c r="X381" s="313">
        <f>V381*X$327/100*X382/100</f>
        <v>56.777245725413628</v>
      </c>
      <c r="Y381" s="313"/>
      <c r="Z381" s="31"/>
      <c r="AA381" s="435"/>
      <c r="AB381" s="435"/>
      <c r="AC381" s="435"/>
      <c r="AD381" s="435"/>
      <c r="AE381" s="435"/>
      <c r="AF381" s="435"/>
      <c r="AG381" s="435"/>
      <c r="AH381" s="435"/>
      <c r="AI381" s="435"/>
      <c r="AJ381" s="435"/>
      <c r="AK381" s="435"/>
      <c r="AL381" s="435"/>
      <c r="AM381" s="435"/>
      <c r="AN381" s="395">
        <f>Q391-P391</f>
        <v>-6682.3829999999925</v>
      </c>
      <c r="AO381" s="396">
        <f>Q391/P391-100%</f>
        <v>-0.39168058795846383</v>
      </c>
    </row>
    <row r="382" spans="1:41" s="390" customFormat="1" ht="18" x14ac:dyDescent="0.2">
      <c r="A382" s="347" t="s">
        <v>670</v>
      </c>
      <c r="B382" s="283" t="s">
        <v>907</v>
      </c>
      <c r="C382" s="393">
        <v>1</v>
      </c>
      <c r="D382" s="296"/>
      <c r="E382" s="296"/>
      <c r="F382" s="296"/>
      <c r="G382" s="297" t="s">
        <v>705</v>
      </c>
      <c r="H382" s="394"/>
      <c r="I382" s="394"/>
      <c r="J382" s="394"/>
      <c r="K382" s="394"/>
      <c r="L382" s="352">
        <v>33.42</v>
      </c>
      <c r="M382" s="352">
        <f>M381/(M$327/100)/L381*100</f>
        <v>95.238095238095241</v>
      </c>
      <c r="N382" s="352">
        <f>N381/(N$327/100)/M381*100</f>
        <v>357.36453222912826</v>
      </c>
      <c r="O382" s="352">
        <f>O381/(O$327/100)/N381*100</f>
        <v>24.36838999220911</v>
      </c>
      <c r="P382" s="353">
        <f>P381/(P$327/100)/O381*100</f>
        <v>109.59789643741016</v>
      </c>
      <c r="Q382" s="353">
        <v>100</v>
      </c>
      <c r="R382" s="353">
        <f>AVERAGE(O382,P382,Q382)</f>
        <v>77.988762143206415</v>
      </c>
      <c r="S382" s="353">
        <f>AVERAGE(P382,Q382,R382)</f>
        <v>95.862219526872195</v>
      </c>
      <c r="T382" s="353">
        <f>AVERAGE(Q382,R382,S382)</f>
        <v>91.28366055669288</v>
      </c>
      <c r="U382" s="353"/>
      <c r="V382" s="353">
        <f>AVERAGE(R382,S382,T382)</f>
        <v>88.378214075590506</v>
      </c>
      <c r="W382" s="353"/>
      <c r="X382" s="353">
        <f>AVERAGE(S382,T382,V382)</f>
        <v>91.841364719718527</v>
      </c>
      <c r="Y382" s="353"/>
      <c r="Z382" s="439"/>
      <c r="AA382" s="435"/>
      <c r="AB382" s="435"/>
      <c r="AC382" s="435"/>
      <c r="AD382" s="435"/>
      <c r="AE382" s="435"/>
      <c r="AF382" s="435"/>
      <c r="AG382" s="435"/>
      <c r="AH382" s="435"/>
      <c r="AI382" s="435"/>
      <c r="AJ382" s="435"/>
      <c r="AK382" s="435"/>
      <c r="AL382" s="435"/>
      <c r="AM382" s="435"/>
      <c r="AN382" s="395">
        <f>Q392-P392</f>
        <v>229.15200000000004</v>
      </c>
      <c r="AO382" s="396">
        <f>Q392/P392-100%</f>
        <v>0.10352880370721596</v>
      </c>
    </row>
    <row r="383" spans="1:41" ht="31.5" x14ac:dyDescent="0.2">
      <c r="A383" s="260" t="s">
        <v>131</v>
      </c>
      <c r="B383" s="261" t="s">
        <v>345</v>
      </c>
      <c r="C383" s="282"/>
      <c r="D383" s="293"/>
      <c r="E383" s="293"/>
      <c r="F383" s="293"/>
      <c r="G383" s="294"/>
      <c r="H383" s="280"/>
      <c r="I383" s="280"/>
      <c r="J383" s="280"/>
      <c r="K383" s="280"/>
      <c r="L383" s="281">
        <v>7.05</v>
      </c>
      <c r="M383" s="281">
        <v>7.05</v>
      </c>
      <c r="N383" s="281">
        <v>11.375</v>
      </c>
      <c r="O383" s="281">
        <v>10.651</v>
      </c>
      <c r="P383" s="313">
        <v>10.173</v>
      </c>
      <c r="Q383" s="313">
        <v>33.488999999999997</v>
      </c>
      <c r="R383" s="313">
        <f>Q383*R$327/100*R384/100</f>
        <v>31.768094945168926</v>
      </c>
      <c r="S383" s="313">
        <f>R383*S$327/100*S384/100</f>
        <v>32.345239947121861</v>
      </c>
      <c r="T383" s="313">
        <f>S383*T$327/100*T384/100</f>
        <v>33.03877154604826</v>
      </c>
      <c r="U383" s="313"/>
      <c r="V383" s="313">
        <f>T383*V$327/100*V384/100</f>
        <v>32.931987646833527</v>
      </c>
      <c r="W383" s="313"/>
      <c r="X383" s="313">
        <f>V383*X$327/100*X384/100</f>
        <v>32.938538056043861</v>
      </c>
      <c r="Y383" s="313"/>
      <c r="AN383" s="316" t="e">
        <f>#REF!-#REF!</f>
        <v>#REF!</v>
      </c>
      <c r="AO383" s="323" t="e">
        <f>#REF!/#REF!-100%</f>
        <v>#REF!</v>
      </c>
    </row>
    <row r="384" spans="1:41" ht="18" x14ac:dyDescent="0.2">
      <c r="A384" s="347" t="s">
        <v>670</v>
      </c>
      <c r="B384" s="283" t="s">
        <v>907</v>
      </c>
      <c r="C384" s="282">
        <v>1</v>
      </c>
      <c r="D384" s="293"/>
      <c r="E384" s="293"/>
      <c r="F384" s="293"/>
      <c r="G384" s="294" t="s">
        <v>705</v>
      </c>
      <c r="H384" s="280"/>
      <c r="I384" s="280"/>
      <c r="J384" s="280"/>
      <c r="K384" s="280"/>
      <c r="L384" s="352">
        <v>274.52999999999997</v>
      </c>
      <c r="M384" s="352">
        <f>M383/(M$327/100)/L383*100</f>
        <v>95.238095238095227</v>
      </c>
      <c r="N384" s="352">
        <f>N383/(N$327/100)/M383*100</f>
        <v>149.53430744253612</v>
      </c>
      <c r="O384" s="352">
        <f>O383/(O$327/100)/N383*100</f>
        <v>86.061732385261791</v>
      </c>
      <c r="P384" s="353">
        <f>P383/(P$327/100)/O383*100</f>
        <v>89.430860002595111</v>
      </c>
      <c r="Q384" s="353">
        <v>100</v>
      </c>
      <c r="R384" s="353">
        <f>AVERAGE(O384,P384,Q384)</f>
        <v>91.830864129285644</v>
      </c>
      <c r="S384" s="353">
        <f>AVERAGE(P384,Q384,R384)</f>
        <v>93.753908043960266</v>
      </c>
      <c r="T384" s="353">
        <f>AVERAGE(Q384,R384,S384)</f>
        <v>95.194924057748651</v>
      </c>
      <c r="U384" s="353"/>
      <c r="V384" s="353">
        <f>AVERAGE(R384,S384,T384)</f>
        <v>93.593232076998177</v>
      </c>
      <c r="W384" s="353"/>
      <c r="X384" s="353">
        <f>AVERAGE(S384,T384,V384)</f>
        <v>94.180688059569036</v>
      </c>
      <c r="Y384" s="353"/>
      <c r="Z384" s="439"/>
      <c r="AN384" s="316" t="e">
        <f>#REF!-#REF!</f>
        <v>#REF!</v>
      </c>
      <c r="AO384" s="323" t="e">
        <f>#REF!/#REF!-100%</f>
        <v>#REF!</v>
      </c>
    </row>
    <row r="385" spans="1:41" x14ac:dyDescent="0.2">
      <c r="A385" s="260" t="s">
        <v>132</v>
      </c>
      <c r="B385" s="261" t="s">
        <v>345</v>
      </c>
      <c r="C385" s="282">
        <v>1</v>
      </c>
      <c r="D385" s="293"/>
      <c r="E385" s="293"/>
      <c r="F385" s="293"/>
      <c r="G385" s="294" t="s">
        <v>705</v>
      </c>
      <c r="H385" s="280"/>
      <c r="I385" s="280"/>
      <c r="J385" s="280"/>
      <c r="K385" s="280"/>
      <c r="L385" s="281">
        <v>8.65</v>
      </c>
      <c r="M385" s="281">
        <v>8.65</v>
      </c>
      <c r="N385" s="281">
        <v>35.238</v>
      </c>
      <c r="O385" s="281">
        <v>20.78</v>
      </c>
      <c r="P385" s="313">
        <v>74.492000000000004</v>
      </c>
      <c r="Q385" s="313">
        <v>58.2</v>
      </c>
      <c r="R385" s="313">
        <f>Q385*R$327/100*R386/100</f>
        <v>45.673128906919352</v>
      </c>
      <c r="S385" s="313">
        <f>R385*S$327/100*S386/100</f>
        <v>41.280607810442881</v>
      </c>
      <c r="T385" s="313">
        <f>S385*T$327/100*T386/100</f>
        <v>34.387171435403637</v>
      </c>
      <c r="U385" s="313"/>
      <c r="V385" s="313">
        <f>T385*V$327/100*V386/100</f>
        <v>28.910683110767856</v>
      </c>
      <c r="W385" s="313"/>
      <c r="X385" s="313">
        <f>V385*X$327/100*X386/100</f>
        <v>24.542236551034325</v>
      </c>
      <c r="Y385" s="313"/>
      <c r="AN385" s="316" t="e">
        <f>#REF!-#REF!</f>
        <v>#REF!</v>
      </c>
      <c r="AO385" s="323" t="e">
        <f>#REF!/#REF!-100%</f>
        <v>#REF!</v>
      </c>
    </row>
    <row r="386" spans="1:41" ht="18" x14ac:dyDescent="0.2">
      <c r="A386" s="347" t="s">
        <v>670</v>
      </c>
      <c r="B386" s="283" t="s">
        <v>907</v>
      </c>
      <c r="C386" s="282">
        <v>1</v>
      </c>
      <c r="D386" s="293"/>
      <c r="E386" s="293"/>
      <c r="F386" s="293"/>
      <c r="G386" s="294" t="s">
        <v>705</v>
      </c>
      <c r="H386" s="280"/>
      <c r="I386" s="280"/>
      <c r="J386" s="280"/>
      <c r="K386" s="280"/>
      <c r="L386" s="352">
        <v>136.91</v>
      </c>
      <c r="M386" s="352">
        <f>M385/(M$327/100)/L385*100</f>
        <v>95.238095238095227</v>
      </c>
      <c r="N386" s="352">
        <f>N385/(N$327/100)/M385*100</f>
        <v>377.54932580477538</v>
      </c>
      <c r="O386" s="352">
        <f>O385/(O$327/100)/N385*100</f>
        <v>54.200762545781124</v>
      </c>
      <c r="P386" s="353">
        <v>100</v>
      </c>
      <c r="Q386" s="353">
        <f>Q385/(Q$327/100)/P385*100</f>
        <v>73.706787812595294</v>
      </c>
      <c r="R386" s="353">
        <f>AVERAGE(O386,P386,Q386)</f>
        <v>75.969183452792137</v>
      </c>
      <c r="S386" s="353">
        <f>AVERAGE(P386,Q386,R386)</f>
        <v>83.225323755129139</v>
      </c>
      <c r="T386" s="353">
        <f>AVERAGE(Q386,R386,S386)</f>
        <v>77.633765006838857</v>
      </c>
      <c r="U386" s="353"/>
      <c r="V386" s="353">
        <f>AVERAGE(R386,S386,T386)</f>
        <v>78.942757404920044</v>
      </c>
      <c r="W386" s="353"/>
      <c r="X386" s="353">
        <f>AVERAGE(S386,T386,V386)</f>
        <v>79.933948722296009</v>
      </c>
      <c r="Y386" s="353"/>
      <c r="Z386" s="439"/>
      <c r="AN386" s="316">
        <f>Q393-P393</f>
        <v>-6911.5349999999926</v>
      </c>
      <c r="AO386" s="323">
        <f>Q393/P393-100%</f>
        <v>-0.46550523647802178</v>
      </c>
    </row>
    <row r="387" spans="1:41" ht="21" x14ac:dyDescent="0.2">
      <c r="A387" s="260" t="s">
        <v>133</v>
      </c>
      <c r="B387" s="261" t="s">
        <v>345</v>
      </c>
      <c r="C387" s="282"/>
      <c r="D387" s="293"/>
      <c r="E387" s="293"/>
      <c r="F387" s="293"/>
      <c r="G387" s="294"/>
      <c r="H387" s="280"/>
      <c r="I387" s="280"/>
      <c r="J387" s="280"/>
      <c r="K387" s="280"/>
      <c r="L387" s="281">
        <v>19.579999999999998</v>
      </c>
      <c r="M387" s="281">
        <v>19.579999999999998</v>
      </c>
      <c r="N387" s="281">
        <v>19.738</v>
      </c>
      <c r="O387" s="281">
        <v>68.551000000000002</v>
      </c>
      <c r="P387" s="313">
        <v>50.948999999999998</v>
      </c>
      <c r="Q387" s="313">
        <v>70.114000000000004</v>
      </c>
      <c r="R387" s="313">
        <f>Q387*R$327/100*R388/100</f>
        <v>118.01004765777601</v>
      </c>
      <c r="S387" s="313">
        <f>R387*S$327/100*S388/100</f>
        <v>142.05365803844239</v>
      </c>
      <c r="T387" s="313">
        <f>S387*T$327/100*T388/100</f>
        <v>189.90790378893342</v>
      </c>
      <c r="U387" s="313"/>
      <c r="V387" s="313">
        <f>T387*V$327/100*V388/100</f>
        <v>268.56954463561755</v>
      </c>
      <c r="W387" s="313"/>
      <c r="X387" s="313">
        <f>V387*X$327/100*X388/100</f>
        <v>350.08353834132328</v>
      </c>
      <c r="Y387" s="313"/>
      <c r="AN387" s="316" t="e">
        <f>#REF!-#REF!</f>
        <v>#REF!</v>
      </c>
      <c r="AO387" s="323" t="e">
        <f>#REF!/#REF!-100%</f>
        <v>#REF!</v>
      </c>
    </row>
    <row r="388" spans="1:41" ht="18" x14ac:dyDescent="0.2">
      <c r="A388" s="347" t="s">
        <v>670</v>
      </c>
      <c r="B388" s="283" t="s">
        <v>907</v>
      </c>
      <c r="C388" s="282">
        <v>1</v>
      </c>
      <c r="D388" s="293"/>
      <c r="E388" s="293"/>
      <c r="F388" s="293"/>
      <c r="G388" s="294" t="s">
        <v>705</v>
      </c>
      <c r="H388" s="280"/>
      <c r="I388" s="280"/>
      <c r="J388" s="280"/>
      <c r="K388" s="280"/>
      <c r="L388" s="352">
        <v>222.91</v>
      </c>
      <c r="M388" s="352">
        <f>M387/(M$327/100)/L387*100</f>
        <v>95.238095238095227</v>
      </c>
      <c r="N388" s="352">
        <f>N387/(N$327/100)/M387*100</f>
        <v>93.42627049409235</v>
      </c>
      <c r="O388" s="352">
        <f>O387/(O$327/100)/N387*100</f>
        <v>319.21387082546056</v>
      </c>
      <c r="P388" s="353">
        <f>P387/(P$327/100)/O387*100</f>
        <v>69.590605796815908</v>
      </c>
      <c r="Q388" s="353">
        <v>100</v>
      </c>
      <c r="R388" s="353">
        <f>AVERAGE(O388,P388,Q388)</f>
        <v>162.93482554075882</v>
      </c>
      <c r="S388" s="353">
        <f>AVERAGE(P388,Q388,R388)</f>
        <v>110.84181044585824</v>
      </c>
      <c r="T388" s="353">
        <f>AVERAGE(Q388,R388,S388)</f>
        <v>124.59221199553902</v>
      </c>
      <c r="U388" s="353"/>
      <c r="V388" s="353">
        <f>AVERAGE(R388,S388,T388)</f>
        <v>132.78961599405201</v>
      </c>
      <c r="W388" s="353"/>
      <c r="X388" s="353">
        <f>AVERAGE(S388,T388,V388)</f>
        <v>122.74121281181642</v>
      </c>
      <c r="Y388" s="353"/>
      <c r="Z388" s="439"/>
      <c r="AN388" s="316">
        <f>Q394-P394</f>
        <v>0</v>
      </c>
      <c r="AO388" s="323" t="e">
        <f>Q394/P394-100%</f>
        <v>#DIV/0!</v>
      </c>
    </row>
    <row r="389" spans="1:41" ht="31.5" x14ac:dyDescent="0.2">
      <c r="A389" s="260" t="s">
        <v>134</v>
      </c>
      <c r="B389" s="261" t="s">
        <v>345</v>
      </c>
      <c r="C389" s="282">
        <v>1</v>
      </c>
      <c r="D389" s="293"/>
      <c r="E389" s="293"/>
      <c r="F389" s="293"/>
      <c r="G389" s="294" t="s">
        <v>705</v>
      </c>
      <c r="H389" s="280"/>
      <c r="I389" s="280"/>
      <c r="J389" s="280"/>
      <c r="K389" s="280"/>
      <c r="L389" s="281">
        <v>1.2</v>
      </c>
      <c r="M389" s="281">
        <v>1.2</v>
      </c>
      <c r="N389" s="281">
        <v>25.472999999999999</v>
      </c>
      <c r="O389" s="281">
        <v>21.349</v>
      </c>
      <c r="P389" s="313">
        <v>111.76300000000001</v>
      </c>
      <c r="Q389" s="313">
        <v>12.121</v>
      </c>
      <c r="R389" s="313">
        <f>Q389*R$327/100*R390/100</f>
        <v>7.8157257645886125</v>
      </c>
      <c r="S389" s="313">
        <f>R389*S$327/100*S390/100</f>
        <v>4.8848407031409797</v>
      </c>
      <c r="T389" s="313">
        <f>S389*T$327/100*T390/100</f>
        <v>2.2748373972878912</v>
      </c>
      <c r="U389" s="313"/>
      <c r="V389" s="313">
        <f>T389*V$327/100*V390/100</f>
        <v>1.3193453552602168</v>
      </c>
      <c r="W389" s="313"/>
      <c r="X389" s="313">
        <f>V389*X$327/100*X390/100</f>
        <v>0.7258370793577682</v>
      </c>
      <c r="Y389" s="313"/>
      <c r="AN389" s="316">
        <f>Q395-P395</f>
        <v>0</v>
      </c>
      <c r="AO389" s="323" t="e">
        <f>Q395/P395-100%</f>
        <v>#DIV/0!</v>
      </c>
    </row>
    <row r="390" spans="1:41" ht="18" x14ac:dyDescent="0.2">
      <c r="A390" s="347" t="s">
        <v>670</v>
      </c>
      <c r="B390" s="283" t="s">
        <v>907</v>
      </c>
      <c r="C390" s="282">
        <v>1</v>
      </c>
      <c r="D390" s="293"/>
      <c r="E390" s="293"/>
      <c r="F390" s="293"/>
      <c r="G390" s="294" t="s">
        <v>705</v>
      </c>
      <c r="H390" s="280"/>
      <c r="I390" s="280"/>
      <c r="J390" s="280"/>
      <c r="K390" s="280"/>
      <c r="L390" s="352">
        <v>84.81</v>
      </c>
      <c r="M390" s="352">
        <f>M389/(M$327/100)/L389*100</f>
        <v>95.238095238095227</v>
      </c>
      <c r="N390" s="352">
        <f>N389/(N$327/100)/M389*100</f>
        <v>1967.3308619091752</v>
      </c>
      <c r="O390" s="352">
        <f>O389/(O$327/100)/N389*100</f>
        <v>77.03153396560603</v>
      </c>
      <c r="P390" s="353">
        <v>100</v>
      </c>
      <c r="Q390" s="353">
        <f>Q389/(Q$327/100)/P389*100</f>
        <v>10.231387543621198</v>
      </c>
      <c r="R390" s="353">
        <f>AVERAGE(O390,P390,Q390)</f>
        <v>62.420973836409075</v>
      </c>
      <c r="S390" s="353">
        <f>AVERAGE(P390,Q390,R390)</f>
        <v>57.550787126676759</v>
      </c>
      <c r="T390" s="353">
        <f>AVERAGE(Q390,R390,S390)</f>
        <v>43.401049502235679</v>
      </c>
      <c r="U390" s="353"/>
      <c r="V390" s="353">
        <f>AVERAGE(R390,S390,T390)</f>
        <v>54.457603488440505</v>
      </c>
      <c r="W390" s="353"/>
      <c r="X390" s="353">
        <f>AVERAGE(S390,T390,V390)</f>
        <v>51.803146705784314</v>
      </c>
      <c r="Y390" s="353"/>
      <c r="Z390" s="439"/>
      <c r="AN390" s="316">
        <f>Q396-P396</f>
        <v>0</v>
      </c>
      <c r="AO390" s="323" t="e">
        <f>Q396/P396-100%</f>
        <v>#DIV/0!</v>
      </c>
    </row>
    <row r="391" spans="1:41" ht="63" x14ac:dyDescent="0.2">
      <c r="A391" s="264" t="s">
        <v>1044</v>
      </c>
      <c r="B391" s="469"/>
      <c r="C391" s="282">
        <v>1</v>
      </c>
      <c r="D391" s="293"/>
      <c r="E391" s="293"/>
      <c r="F391" s="293"/>
      <c r="G391" s="294" t="s">
        <v>705</v>
      </c>
      <c r="H391" s="280"/>
      <c r="I391" s="280"/>
      <c r="J391" s="280"/>
      <c r="K391" s="280"/>
      <c r="L391" s="437">
        <f t="shared" ref="L391:T391" si="84">L328</f>
        <v>2930.9189999999999</v>
      </c>
      <c r="M391" s="437">
        <f t="shared" si="84"/>
        <v>3284.1579999999999</v>
      </c>
      <c r="N391" s="437">
        <f t="shared" si="84"/>
        <v>7407.7209999999995</v>
      </c>
      <c r="O391" s="437">
        <f t="shared" si="84"/>
        <v>17894.633999999998</v>
      </c>
      <c r="P391" s="437">
        <f t="shared" si="84"/>
        <v>17060.796999999991</v>
      </c>
      <c r="Q391" s="437">
        <f t="shared" si="84"/>
        <v>10378.413999999999</v>
      </c>
      <c r="R391" s="437">
        <f t="shared" si="84"/>
        <v>6606.1139999999987</v>
      </c>
      <c r="S391" s="437">
        <f t="shared" si="84"/>
        <v>4840.6229767470886</v>
      </c>
      <c r="T391" s="437">
        <f t="shared" si="84"/>
        <v>3190.9269978913062</v>
      </c>
      <c r="U391" s="437">
        <f>U328</f>
        <v>3225.8398431431651</v>
      </c>
      <c r="V391" s="437">
        <f>V328</f>
        <v>3398.3372527542415</v>
      </c>
      <c r="W391" s="437">
        <f>W328</f>
        <v>3473.1327255185197</v>
      </c>
      <c r="X391" s="437">
        <f>X328</f>
        <v>3609.034162425005</v>
      </c>
      <c r="Y391" s="437">
        <f>Y328</f>
        <v>3732.3673521512233</v>
      </c>
      <c r="Z391" s="435"/>
      <c r="AN391" s="316">
        <f>Q399-P399</f>
        <v>256.60900000000004</v>
      </c>
      <c r="AO391" s="323">
        <f>Q399/P399-100%</f>
        <v>5.8979727866139564</v>
      </c>
    </row>
    <row r="392" spans="1:41" x14ac:dyDescent="0.2">
      <c r="A392" s="260" t="s">
        <v>1045</v>
      </c>
      <c r="B392" s="469" t="s">
        <v>615</v>
      </c>
      <c r="C392" s="282">
        <v>1</v>
      </c>
      <c r="D392" s="293"/>
      <c r="E392" s="293"/>
      <c r="F392" s="293"/>
      <c r="G392" s="294" t="s">
        <v>705</v>
      </c>
      <c r="H392" s="280"/>
      <c r="I392" s="280"/>
      <c r="J392" s="280"/>
      <c r="K392" s="280"/>
      <c r="L392" s="538">
        <v>2288.4940000000001</v>
      </c>
      <c r="M392" s="538">
        <v>776.16899999999998</v>
      </c>
      <c r="N392" s="538">
        <v>540.851</v>
      </c>
      <c r="O392" s="538">
        <v>1277.423</v>
      </c>
      <c r="P392" s="538">
        <v>2213.413</v>
      </c>
      <c r="Q392" s="538">
        <v>2442.5650000000001</v>
      </c>
      <c r="R392" s="437">
        <f t="shared" ref="R392:Y392" si="85">AVERAGE(O392,P392,Q392)/AVERAGE(O391,P391,Q391)*R$391</f>
        <v>864.62384590837166</v>
      </c>
      <c r="S392" s="437">
        <f t="shared" si="85"/>
        <v>784.92868377013463</v>
      </c>
      <c r="T392" s="437">
        <f t="shared" si="85"/>
        <v>598.28444338860618</v>
      </c>
      <c r="U392" s="437">
        <f t="shared" si="85"/>
        <v>495.37700012609781</v>
      </c>
      <c r="V392" s="437">
        <f t="shared" si="85"/>
        <v>567.1015142537259</v>
      </c>
      <c r="W392" s="437">
        <f t="shared" si="85"/>
        <v>587.67081050160812</v>
      </c>
      <c r="X392" s="437">
        <f t="shared" si="85"/>
        <v>589.80514532379925</v>
      </c>
      <c r="Y392" s="437">
        <f t="shared" si="85"/>
        <v>621.28728782587189</v>
      </c>
      <c r="Z392" s="435"/>
      <c r="AN392" s="316" t="e">
        <f>#REF!-#REF!</f>
        <v>#REF!</v>
      </c>
      <c r="AO392" s="323" t="e">
        <f>#REF!/#REF!-100%</f>
        <v>#REF!</v>
      </c>
    </row>
    <row r="393" spans="1:41" x14ac:dyDescent="0.2">
      <c r="A393" s="260" t="s">
        <v>1046</v>
      </c>
      <c r="B393" s="261" t="s">
        <v>615</v>
      </c>
      <c r="C393" s="282">
        <v>1</v>
      </c>
      <c r="D393" s="293"/>
      <c r="E393" s="293"/>
      <c r="F393" s="293"/>
      <c r="G393" s="294" t="s">
        <v>705</v>
      </c>
      <c r="H393" s="280"/>
      <c r="I393" s="280"/>
      <c r="J393" s="280"/>
      <c r="K393" s="280"/>
      <c r="L393" s="313">
        <f t="shared" ref="L393:X393" si="86">L391-L392</f>
        <v>642.42499999999973</v>
      </c>
      <c r="M393" s="313">
        <f t="shared" si="86"/>
        <v>2507.989</v>
      </c>
      <c r="N393" s="313">
        <f t="shared" si="86"/>
        <v>6866.87</v>
      </c>
      <c r="O393" s="313">
        <f t="shared" si="86"/>
        <v>16617.210999999999</v>
      </c>
      <c r="P393" s="313">
        <f t="shared" si="86"/>
        <v>14847.383999999991</v>
      </c>
      <c r="Q393" s="313">
        <f t="shared" si="86"/>
        <v>7935.8489999999983</v>
      </c>
      <c r="R393" s="313">
        <f t="shared" si="86"/>
        <v>5741.4901540916271</v>
      </c>
      <c r="S393" s="313">
        <f t="shared" si="86"/>
        <v>4055.6942929769539</v>
      </c>
      <c r="T393" s="313">
        <f t="shared" si="86"/>
        <v>2592.6425545027</v>
      </c>
      <c r="U393" s="313"/>
      <c r="V393" s="313">
        <f t="shared" si="86"/>
        <v>2831.2357385005157</v>
      </c>
      <c r="W393" s="313"/>
      <c r="X393" s="313">
        <f t="shared" si="86"/>
        <v>3019.2290171012055</v>
      </c>
      <c r="Y393" s="313"/>
      <c r="AN393" s="316">
        <f>Q403-P403</f>
        <v>0</v>
      </c>
      <c r="AO393" s="323" t="e">
        <f>Q403/P403-100%</f>
        <v>#DIV/0!</v>
      </c>
    </row>
    <row r="394" spans="1:41" hidden="1" x14ac:dyDescent="0.2">
      <c r="A394" s="260" t="s">
        <v>1047</v>
      </c>
      <c r="B394" s="261" t="s">
        <v>615</v>
      </c>
      <c r="C394" s="282"/>
      <c r="D394" s="293"/>
      <c r="E394" s="293"/>
      <c r="F394" s="293"/>
      <c r="G394" s="294"/>
      <c r="H394" s="280"/>
      <c r="I394" s="280"/>
      <c r="J394" s="280"/>
      <c r="K394" s="280"/>
      <c r="L394" s="281">
        <v>150</v>
      </c>
      <c r="M394" s="281"/>
      <c r="N394" s="281"/>
      <c r="O394" s="281"/>
      <c r="P394" s="313"/>
      <c r="Q394" s="313"/>
      <c r="R394" s="313"/>
      <c r="S394" s="313"/>
      <c r="T394" s="313"/>
      <c r="U394" s="313"/>
      <c r="V394" s="313"/>
      <c r="W394" s="313"/>
      <c r="X394" s="313"/>
      <c r="Y394" s="313"/>
      <c r="AN394" s="316">
        <f>Q410-P410</f>
        <v>0</v>
      </c>
      <c r="AO394" s="323" t="e">
        <f>Q410/P410-100%</f>
        <v>#DIV/0!</v>
      </c>
    </row>
    <row r="395" spans="1:41" hidden="1" x14ac:dyDescent="0.2">
      <c r="A395" s="260" t="s">
        <v>142</v>
      </c>
      <c r="B395" s="261" t="s">
        <v>615</v>
      </c>
      <c r="C395" s="282">
        <v>1</v>
      </c>
      <c r="D395" s="293"/>
      <c r="E395" s="293"/>
      <c r="F395" s="293"/>
      <c r="G395" s="294" t="s">
        <v>705</v>
      </c>
      <c r="H395" s="280"/>
      <c r="I395" s="280"/>
      <c r="J395" s="280"/>
      <c r="K395" s="280"/>
      <c r="L395" s="281">
        <v>0</v>
      </c>
      <c r="M395" s="281"/>
      <c r="N395" s="281"/>
      <c r="O395" s="281"/>
      <c r="P395" s="313"/>
      <c r="Q395" s="313"/>
      <c r="R395" s="313"/>
      <c r="S395" s="313"/>
      <c r="T395" s="313"/>
      <c r="U395" s="313"/>
      <c r="V395" s="313"/>
      <c r="W395" s="313"/>
      <c r="X395" s="313"/>
      <c r="Y395" s="313"/>
      <c r="AN395" s="316">
        <f>Q411-P411</f>
        <v>256.60900000000004</v>
      </c>
      <c r="AO395" s="323">
        <f>Q411/P411-100%</f>
        <v>5.8979727866139564</v>
      </c>
    </row>
    <row r="396" spans="1:41" hidden="1" x14ac:dyDescent="0.2">
      <c r="A396" s="260" t="s">
        <v>1048</v>
      </c>
      <c r="B396" s="261" t="s">
        <v>615</v>
      </c>
      <c r="C396" s="282">
        <v>1</v>
      </c>
      <c r="D396" s="293"/>
      <c r="E396" s="293"/>
      <c r="F396" s="293"/>
      <c r="G396" s="294" t="s">
        <v>705</v>
      </c>
      <c r="H396" s="280"/>
      <c r="I396" s="280"/>
      <c r="J396" s="280"/>
      <c r="K396" s="280"/>
      <c r="L396" s="281">
        <v>7.84</v>
      </c>
      <c r="M396" s="281"/>
      <c r="N396" s="281"/>
      <c r="O396" s="281"/>
      <c r="P396" s="313"/>
      <c r="Q396" s="313"/>
      <c r="R396" s="313"/>
      <c r="S396" s="313"/>
      <c r="T396" s="313"/>
      <c r="U396" s="313"/>
      <c r="V396" s="313"/>
      <c r="W396" s="313"/>
      <c r="X396" s="313"/>
      <c r="Y396" s="313"/>
      <c r="AN396" s="316">
        <f>Q412-P412</f>
        <v>23.797999999999995</v>
      </c>
      <c r="AO396" s="323">
        <f>Q412/P412-100%</f>
        <v>0.42956678700360995</v>
      </c>
    </row>
    <row r="397" spans="1:41" x14ac:dyDescent="0.2">
      <c r="A397" s="260" t="s">
        <v>1049</v>
      </c>
      <c r="B397" s="261" t="s">
        <v>615</v>
      </c>
      <c r="C397" s="282">
        <v>1</v>
      </c>
      <c r="D397" s="293"/>
      <c r="E397" s="293"/>
      <c r="F397" s="293"/>
      <c r="G397" s="294" t="s">
        <v>705</v>
      </c>
      <c r="H397" s="280"/>
      <c r="I397" s="280"/>
      <c r="J397" s="280"/>
      <c r="K397" s="280"/>
      <c r="L397" s="281">
        <f>L399</f>
        <v>405.625</v>
      </c>
      <c r="M397" s="281">
        <v>24.1</v>
      </c>
      <c r="N397" s="281">
        <v>67.3</v>
      </c>
      <c r="O397" s="281">
        <v>898.7</v>
      </c>
      <c r="P397" s="313">
        <v>111.1</v>
      </c>
      <c r="Q397" s="313">
        <v>378.00299999999999</v>
      </c>
      <c r="R397" s="313">
        <f>8.849*2</f>
        <v>17.698</v>
      </c>
      <c r="S397" s="313"/>
      <c r="T397" s="313"/>
      <c r="U397" s="313"/>
      <c r="V397" s="313"/>
      <c r="W397" s="313"/>
      <c r="X397" s="313"/>
      <c r="Y397" s="313"/>
      <c r="AN397" s="316" t="e">
        <f>#REF!-#REF!</f>
        <v>#REF!</v>
      </c>
      <c r="AO397" s="323" t="e">
        <f>#REF!/#REF!-100%</f>
        <v>#REF!</v>
      </c>
    </row>
    <row r="398" spans="1:41" x14ac:dyDescent="0.2">
      <c r="A398" s="260" t="s">
        <v>446</v>
      </c>
      <c r="B398" s="261"/>
      <c r="C398" s="282">
        <v>1</v>
      </c>
      <c r="D398" s="293"/>
      <c r="E398" s="293"/>
      <c r="F398" s="293"/>
      <c r="G398" s="294" t="s">
        <v>704</v>
      </c>
      <c r="H398" s="280"/>
      <c r="I398" s="280"/>
      <c r="J398" s="280"/>
      <c r="K398" s="280"/>
      <c r="L398" s="281"/>
      <c r="M398" s="281"/>
      <c r="N398" s="281"/>
      <c r="O398" s="281"/>
      <c r="P398" s="313"/>
      <c r="Q398" s="313"/>
      <c r="R398" s="313"/>
      <c r="S398" s="313"/>
      <c r="T398" s="313"/>
      <c r="U398" s="313"/>
      <c r="V398" s="313"/>
      <c r="W398" s="313"/>
      <c r="X398" s="313"/>
      <c r="Y398" s="313"/>
      <c r="AN398" s="316" t="e">
        <f>#REF!-#REF!</f>
        <v>#REF!</v>
      </c>
      <c r="AO398" s="323" t="e">
        <f>#REF!/#REF!-100%</f>
        <v>#REF!</v>
      </c>
    </row>
    <row r="399" spans="1:41" x14ac:dyDescent="0.2">
      <c r="A399" s="260" t="s">
        <v>1050</v>
      </c>
      <c r="B399" s="261" t="s">
        <v>615</v>
      </c>
      <c r="C399" s="282">
        <v>1</v>
      </c>
      <c r="D399" s="293"/>
      <c r="E399" s="293"/>
      <c r="F399" s="293"/>
      <c r="G399" s="294" t="s">
        <v>705</v>
      </c>
      <c r="H399" s="280"/>
      <c r="I399" s="280"/>
      <c r="J399" s="280"/>
      <c r="K399" s="280"/>
      <c r="L399" s="539">
        <v>405.625</v>
      </c>
      <c r="M399" s="539">
        <v>16.352</v>
      </c>
      <c r="N399" s="539">
        <v>17.457000000000001</v>
      </c>
      <c r="O399" s="539">
        <v>727.03300000000002</v>
      </c>
      <c r="P399" s="540">
        <v>43.508000000000003</v>
      </c>
      <c r="Q399" s="540">
        <v>300.11700000000002</v>
      </c>
      <c r="R399" s="313">
        <f>2.142*2</f>
        <v>4.2839999999999998</v>
      </c>
      <c r="S399" s="313"/>
      <c r="T399" s="313"/>
      <c r="U399" s="313"/>
      <c r="V399" s="313"/>
      <c r="W399" s="313"/>
      <c r="X399" s="313"/>
      <c r="Y399" s="313"/>
      <c r="AN399" s="316" t="e">
        <f>#REF!-#REF!</f>
        <v>#REF!</v>
      </c>
      <c r="AO399" s="323" t="e">
        <f>#REF!/#REF!-100%</f>
        <v>#REF!</v>
      </c>
    </row>
    <row r="400" spans="1:41" ht="21" x14ac:dyDescent="0.2">
      <c r="A400" s="260" t="s">
        <v>1051</v>
      </c>
      <c r="B400" s="261" t="s">
        <v>615</v>
      </c>
      <c r="C400" s="282">
        <v>1</v>
      </c>
      <c r="D400" s="293"/>
      <c r="E400" s="293"/>
      <c r="F400" s="293"/>
      <c r="G400" s="294" t="s">
        <v>705</v>
      </c>
      <c r="H400" s="280"/>
      <c r="I400" s="280"/>
      <c r="J400" s="280"/>
      <c r="K400" s="280"/>
      <c r="L400" s="281"/>
      <c r="M400" s="281">
        <v>5</v>
      </c>
      <c r="N400" s="281">
        <v>34.9</v>
      </c>
      <c r="O400" s="281">
        <v>136.1</v>
      </c>
      <c r="P400" s="313">
        <v>55.4</v>
      </c>
      <c r="Q400" s="313">
        <v>79.197999999999993</v>
      </c>
      <c r="R400" s="313">
        <f>5.337*2</f>
        <v>10.673999999999999</v>
      </c>
      <c r="S400" s="313"/>
      <c r="T400" s="313"/>
      <c r="U400" s="313"/>
      <c r="V400" s="313"/>
      <c r="W400" s="313"/>
      <c r="X400" s="313"/>
      <c r="Y400" s="313"/>
      <c r="AN400" s="316" t="e">
        <f>#REF!-#REF!</f>
        <v>#REF!</v>
      </c>
      <c r="AO400" s="323" t="e">
        <f>#REF!/#REF!-100%</f>
        <v>#REF!</v>
      </c>
    </row>
    <row r="401" spans="1:53" x14ac:dyDescent="0.2">
      <c r="A401" s="260" t="s">
        <v>1052</v>
      </c>
      <c r="B401" s="261" t="s">
        <v>615</v>
      </c>
      <c r="C401" s="282">
        <v>1</v>
      </c>
      <c r="D401" s="293"/>
      <c r="E401" s="293"/>
      <c r="F401" s="293"/>
      <c r="G401" s="294" t="s">
        <v>704</v>
      </c>
      <c r="H401" s="280"/>
      <c r="I401" s="280"/>
      <c r="J401" s="280"/>
      <c r="K401" s="280"/>
      <c r="L401" s="281"/>
      <c r="M401" s="281"/>
      <c r="N401" s="281"/>
      <c r="O401" s="281"/>
      <c r="P401" s="313"/>
      <c r="Q401" s="313"/>
      <c r="R401" s="313"/>
      <c r="S401" s="313"/>
      <c r="T401" s="313"/>
      <c r="U401" s="313"/>
      <c r="V401" s="313"/>
      <c r="W401" s="313"/>
      <c r="X401" s="313"/>
      <c r="Y401" s="313"/>
      <c r="AN401" s="316" t="e">
        <f>#REF!-#REF!</f>
        <v>#REF!</v>
      </c>
      <c r="AO401" s="323" t="e">
        <f>#REF!/#REF!-100%</f>
        <v>#REF!</v>
      </c>
    </row>
    <row r="402" spans="1:53" x14ac:dyDescent="0.2">
      <c r="A402" s="260" t="s">
        <v>1053</v>
      </c>
      <c r="B402" s="261" t="s">
        <v>615</v>
      </c>
      <c r="C402" s="282">
        <v>1</v>
      </c>
      <c r="D402" s="293"/>
      <c r="E402" s="293"/>
      <c r="F402" s="293"/>
      <c r="G402" s="294" t="s">
        <v>705</v>
      </c>
      <c r="H402" s="280"/>
      <c r="I402" s="280"/>
      <c r="J402" s="280"/>
      <c r="K402" s="280"/>
      <c r="L402" s="281">
        <f t="shared" ref="L402:T402" si="87">L391-L392-L393</f>
        <v>0</v>
      </c>
      <c r="M402" s="281">
        <f t="shared" si="87"/>
        <v>0</v>
      </c>
      <c r="N402" s="281">
        <f t="shared" si="87"/>
        <v>0</v>
      </c>
      <c r="O402" s="281">
        <f t="shared" si="87"/>
        <v>0</v>
      </c>
      <c r="P402" s="281">
        <f t="shared" si="87"/>
        <v>0</v>
      </c>
      <c r="Q402" s="281">
        <f t="shared" si="87"/>
        <v>0</v>
      </c>
      <c r="R402" s="281">
        <f t="shared" si="87"/>
        <v>0</v>
      </c>
      <c r="S402" s="281">
        <f t="shared" si="87"/>
        <v>0</v>
      </c>
      <c r="T402" s="281">
        <f t="shared" si="87"/>
        <v>0</v>
      </c>
      <c r="U402" s="281"/>
      <c r="V402" s="281">
        <f>V391-V392-V393</f>
        <v>0</v>
      </c>
      <c r="W402" s="281"/>
      <c r="X402" s="281">
        <f>X391-X392-X393</f>
        <v>0</v>
      </c>
      <c r="Y402" s="281"/>
      <c r="AN402" s="316" t="e">
        <f>#REF!-#REF!</f>
        <v>#REF!</v>
      </c>
      <c r="AO402" s="323" t="e">
        <f>#REF!/#REF!-100%</f>
        <v>#REF!</v>
      </c>
    </row>
    <row r="403" spans="1:53" ht="21" hidden="1" x14ac:dyDescent="0.2">
      <c r="A403" s="260" t="s">
        <v>1054</v>
      </c>
      <c r="B403" s="261" t="s">
        <v>615</v>
      </c>
      <c r="C403" s="282">
        <v>1</v>
      </c>
      <c r="D403" s="293"/>
      <c r="E403" s="293"/>
      <c r="F403" s="293"/>
      <c r="G403" s="294" t="s">
        <v>704</v>
      </c>
      <c r="H403" s="280"/>
      <c r="I403" s="280"/>
      <c r="J403" s="280"/>
      <c r="K403" s="280"/>
      <c r="L403" s="281"/>
      <c r="M403" s="281"/>
      <c r="N403" s="281"/>
      <c r="O403" s="281"/>
      <c r="P403" s="313"/>
      <c r="Q403" s="313"/>
      <c r="R403" s="313"/>
      <c r="S403" s="313"/>
      <c r="T403" s="313"/>
      <c r="U403" s="313"/>
      <c r="V403" s="313"/>
      <c r="W403" s="313"/>
      <c r="X403" s="313"/>
      <c r="Y403" s="313"/>
      <c r="AN403" s="316" t="e">
        <f>#REF!-#REF!</f>
        <v>#REF!</v>
      </c>
      <c r="AO403" s="323" t="e">
        <f>#REF!/#REF!-100%</f>
        <v>#REF!</v>
      </c>
    </row>
    <row r="404" spans="1:53" hidden="1" x14ac:dyDescent="0.2">
      <c r="A404" s="260" t="s">
        <v>1136</v>
      </c>
      <c r="B404" s="261"/>
      <c r="C404" s="282"/>
      <c r="D404" s="293"/>
      <c r="E404" s="293"/>
      <c r="F404" s="293"/>
      <c r="G404" s="294"/>
      <c r="H404" s="280"/>
      <c r="I404" s="280"/>
      <c r="J404" s="280"/>
      <c r="K404" s="280"/>
      <c r="L404" s="281"/>
      <c r="M404" s="281"/>
      <c r="N404" s="281"/>
      <c r="O404" s="281"/>
      <c r="P404" s="313"/>
      <c r="Q404" s="313"/>
      <c r="R404" s="313"/>
      <c r="S404" s="313"/>
      <c r="T404" s="313"/>
      <c r="U404" s="313"/>
      <c r="V404" s="313"/>
      <c r="W404" s="313"/>
      <c r="X404" s="313"/>
      <c r="Y404" s="313"/>
      <c r="AN404" s="316"/>
      <c r="AO404" s="323"/>
    </row>
    <row r="405" spans="1:53" s="311" customFormat="1" ht="14.25" x14ac:dyDescent="0.2">
      <c r="A405" s="292" t="s">
        <v>276</v>
      </c>
      <c r="B405" s="261"/>
      <c r="C405" s="282"/>
      <c r="D405" s="293"/>
      <c r="E405" s="293"/>
      <c r="F405" s="293"/>
      <c r="G405" s="294"/>
      <c r="H405" s="280"/>
      <c r="I405" s="280"/>
      <c r="J405" s="280"/>
      <c r="K405" s="280"/>
      <c r="L405" s="281"/>
      <c r="M405" s="281"/>
      <c r="N405" s="281"/>
      <c r="O405" s="281"/>
      <c r="P405" s="313"/>
      <c r="Q405" s="313"/>
      <c r="R405" s="313"/>
      <c r="S405" s="313"/>
      <c r="T405" s="313"/>
      <c r="U405" s="313"/>
      <c r="V405" s="313"/>
      <c r="W405" s="313"/>
      <c r="X405" s="313"/>
      <c r="Y405" s="313"/>
      <c r="Z405" s="31"/>
      <c r="AN405" s="316" t="e">
        <f>#REF!-#REF!</f>
        <v>#REF!</v>
      </c>
      <c r="AO405" s="323" t="e">
        <f>#REF!/#REF!-100%</f>
        <v>#REF!</v>
      </c>
      <c r="AP405" s="267"/>
      <c r="AQ405" s="267"/>
      <c r="AR405" s="267"/>
      <c r="AS405" s="267"/>
      <c r="AT405" s="267"/>
      <c r="AU405" s="267"/>
      <c r="AV405" s="267"/>
      <c r="AW405" s="267"/>
      <c r="AX405" s="267"/>
      <c r="AY405" s="267"/>
      <c r="AZ405" s="267"/>
      <c r="BA405" s="267"/>
    </row>
    <row r="406" spans="1:53" s="311" customFormat="1" x14ac:dyDescent="0.2">
      <c r="A406" s="260" t="s">
        <v>559</v>
      </c>
      <c r="B406" s="261" t="s">
        <v>896</v>
      </c>
      <c r="C406" s="282">
        <v>1</v>
      </c>
      <c r="D406" s="293"/>
      <c r="E406" s="293"/>
      <c r="F406" s="293"/>
      <c r="G406" s="294" t="s">
        <v>705</v>
      </c>
      <c r="H406" s="280"/>
      <c r="I406" s="280"/>
      <c r="J406" s="280"/>
      <c r="K406" s="280"/>
      <c r="L406" s="281"/>
      <c r="M406" s="281"/>
      <c r="N406" s="281"/>
      <c r="O406" s="281"/>
      <c r="P406" s="313">
        <v>11460.290999999999</v>
      </c>
      <c r="Q406" s="313">
        <v>6536.6419999999998</v>
      </c>
      <c r="R406" s="313">
        <f>1630.496*2</f>
        <v>3260.9920000000002</v>
      </c>
      <c r="S406" s="313">
        <f t="shared" ref="S406:U407" si="88">AVERAGE(Q406,R406,P406)/AVERAGE(P328,Q328,R328)*S328</f>
        <v>3022.4884089949614</v>
      </c>
      <c r="T406" s="313">
        <f t="shared" si="88"/>
        <v>1874.3547183118028</v>
      </c>
      <c r="U406" s="313">
        <f t="shared" si="88"/>
        <v>1797.818943859801</v>
      </c>
      <c r="V406" s="313">
        <f>AVERAGE(S406,T406,R406)/AVERAGE(R328,S328,T328)*V328</f>
        <v>1893.9548730581228</v>
      </c>
      <c r="W406" s="313">
        <f>AVERAGE(T406,U406,S406)/AVERAGE(S328,T328,U328)*W328</f>
        <v>2065.4388185909197</v>
      </c>
      <c r="X406" s="313">
        <f>AVERAGE(T406,V406,S406)/AVERAGE(S328,T328,V328)*X328</f>
        <v>2144.2225531944341</v>
      </c>
      <c r="Y406" s="313">
        <f>AVERAGE(U406,W406,T406)/AVERAGE(T328,U328,W328)*Y328</f>
        <v>2165.3281065580463</v>
      </c>
      <c r="Z406" s="31"/>
      <c r="AN406" s="316" t="e">
        <f>#REF!-#REF!</f>
        <v>#REF!</v>
      </c>
      <c r="AO406" s="323" t="e">
        <f>#REF!/#REF!-100%</f>
        <v>#REF!</v>
      </c>
      <c r="AP406" s="267"/>
      <c r="AQ406" s="267"/>
      <c r="AR406" s="267"/>
      <c r="AS406" s="267"/>
      <c r="AT406" s="267"/>
      <c r="AU406" s="267"/>
      <c r="AV406" s="267"/>
      <c r="AW406" s="267"/>
      <c r="AX406" s="267"/>
      <c r="AY406" s="267"/>
      <c r="AZ406" s="267"/>
      <c r="BA406" s="267"/>
    </row>
    <row r="407" spans="1:53" s="311" customFormat="1" ht="21" x14ac:dyDescent="0.2">
      <c r="A407" s="260" t="s">
        <v>560</v>
      </c>
      <c r="B407" s="261" t="s">
        <v>896</v>
      </c>
      <c r="C407" s="282"/>
      <c r="D407" s="293"/>
      <c r="E407" s="293"/>
      <c r="F407" s="293"/>
      <c r="G407" s="294"/>
      <c r="H407" s="280"/>
      <c r="I407" s="280"/>
      <c r="J407" s="280"/>
      <c r="K407" s="280"/>
      <c r="L407" s="281"/>
      <c r="M407" s="281"/>
      <c r="N407" s="281"/>
      <c r="O407" s="281"/>
      <c r="P407" s="313">
        <v>0.73</v>
      </c>
      <c r="Q407" s="313">
        <v>1.7</v>
      </c>
      <c r="R407" s="313">
        <v>1.7</v>
      </c>
      <c r="S407" s="313">
        <f t="shared" si="88"/>
        <v>1.1712482288279267</v>
      </c>
      <c r="T407" s="313">
        <f t="shared" si="88"/>
        <v>1.3272584811647414</v>
      </c>
      <c r="U407" s="313">
        <f t="shared" si="88"/>
        <v>0</v>
      </c>
      <c r="V407" s="313">
        <f>AVERAGE(S407,T407,R407)/AVERAGE(R329,S329,T329)*V329</f>
        <v>1.1320205542893786</v>
      </c>
      <c r="W407" s="313">
        <f>AVERAGE(T407,U407,S407)/AVERAGE(S329,T329,U329)*W329</f>
        <v>0</v>
      </c>
      <c r="X407" s="313">
        <f>AVERAGE(T407,V407,S407)/AVERAGE(S329,T329,V329)*X329</f>
        <v>0.96891832554585944</v>
      </c>
      <c r="Y407" s="313">
        <f>AVERAGE(U407,W407,T407)/AVERAGE(T329,U329,W329)*Y329</f>
        <v>0</v>
      </c>
      <c r="Z407" s="31"/>
      <c r="AN407" s="316" t="e">
        <f>#REF!-#REF!</f>
        <v>#REF!</v>
      </c>
      <c r="AO407" s="323" t="e">
        <f>#REF!/#REF!-100%</f>
        <v>#REF!</v>
      </c>
      <c r="AP407" s="267"/>
      <c r="AQ407" s="267"/>
      <c r="AR407" s="267"/>
      <c r="AS407" s="267"/>
      <c r="AT407" s="267"/>
      <c r="AU407" s="267"/>
      <c r="AV407" s="267"/>
      <c r="AW407" s="267"/>
      <c r="AX407" s="267"/>
      <c r="AY407" s="267"/>
      <c r="AZ407" s="267"/>
      <c r="BA407" s="267"/>
    </row>
    <row r="408" spans="1:53" s="311" customFormat="1" ht="21" x14ac:dyDescent="0.2">
      <c r="A408" s="260" t="s">
        <v>277</v>
      </c>
      <c r="B408" s="261" t="s">
        <v>896</v>
      </c>
      <c r="C408" s="282">
        <v>1</v>
      </c>
      <c r="D408" s="293"/>
      <c r="E408" s="293"/>
      <c r="F408" s="293"/>
      <c r="G408" s="294" t="s">
        <v>705</v>
      </c>
      <c r="H408" s="280"/>
      <c r="I408" s="280"/>
      <c r="J408" s="280"/>
      <c r="K408" s="280"/>
      <c r="L408" s="540">
        <v>93610.1</v>
      </c>
      <c r="M408" s="540">
        <v>90344.7</v>
      </c>
      <c r="N408" s="540">
        <v>97014.3</v>
      </c>
      <c r="O408" s="540">
        <v>114199.5</v>
      </c>
      <c r="P408" s="541">
        <v>126029.9</v>
      </c>
      <c r="Q408" s="541">
        <v>135439</v>
      </c>
      <c r="R408" s="325">
        <f>Q408+R406-R407</f>
        <v>138698.29199999999</v>
      </c>
      <c r="S408" s="325">
        <f>R408+S406-S407</f>
        <v>141719.60916076609</v>
      </c>
      <c r="T408" s="325">
        <f>S408+T406-T407</f>
        <v>143592.63662059672</v>
      </c>
      <c r="U408" s="325">
        <f>T408+U406-U407</f>
        <v>145390.45556445653</v>
      </c>
      <c r="V408" s="325">
        <f>T408+V406-V407</f>
        <v>145485.45947310055</v>
      </c>
      <c r="W408" s="325">
        <f>U408+W406-W407</f>
        <v>147455.89438304745</v>
      </c>
      <c r="X408" s="325">
        <f>V408+X406-X407</f>
        <v>147628.71310796944</v>
      </c>
      <c r="Y408" s="325">
        <f>W408+Y406-Y407</f>
        <v>149621.22248960548</v>
      </c>
      <c r="Z408" s="31"/>
      <c r="AN408" s="316" t="e">
        <f>#REF!-#REF!</f>
        <v>#REF!</v>
      </c>
      <c r="AO408" s="323" t="e">
        <f>#REF!/#REF!-100%</f>
        <v>#REF!</v>
      </c>
      <c r="AP408" s="267"/>
      <c r="AQ408" s="267"/>
      <c r="AR408" s="267"/>
      <c r="AS408" s="267"/>
      <c r="AT408" s="267"/>
      <c r="AU408" s="267"/>
      <c r="AV408" s="267"/>
      <c r="AW408" s="267"/>
      <c r="AX408" s="267"/>
      <c r="AY408" s="267"/>
      <c r="AZ408" s="267"/>
      <c r="BA408" s="267"/>
    </row>
    <row r="409" spans="1:53" ht="52.5" x14ac:dyDescent="0.2">
      <c r="A409" s="264" t="s">
        <v>191</v>
      </c>
      <c r="B409" s="469" t="s">
        <v>615</v>
      </c>
      <c r="C409" s="282"/>
      <c r="D409" s="293"/>
      <c r="E409" s="293"/>
      <c r="F409" s="293"/>
      <c r="G409" s="294"/>
      <c r="H409" s="280"/>
      <c r="I409" s="280"/>
      <c r="J409" s="280"/>
      <c r="K409" s="280"/>
      <c r="L409" s="397">
        <f t="shared" ref="L409:X409" si="89">L397</f>
        <v>405.625</v>
      </c>
      <c r="M409" s="397">
        <f t="shared" si="89"/>
        <v>24.1</v>
      </c>
      <c r="N409" s="397">
        <f t="shared" si="89"/>
        <v>67.3</v>
      </c>
      <c r="O409" s="397">
        <f t="shared" si="89"/>
        <v>898.7</v>
      </c>
      <c r="P409" s="397">
        <f t="shared" si="89"/>
        <v>111.1</v>
      </c>
      <c r="Q409" s="397">
        <f t="shared" si="89"/>
        <v>378.00299999999999</v>
      </c>
      <c r="R409" s="397">
        <f t="shared" si="89"/>
        <v>17.698</v>
      </c>
      <c r="S409" s="397">
        <f t="shared" si="89"/>
        <v>0</v>
      </c>
      <c r="T409" s="397">
        <f t="shared" si="89"/>
        <v>0</v>
      </c>
      <c r="U409" s="397"/>
      <c r="V409" s="397">
        <f t="shared" si="89"/>
        <v>0</v>
      </c>
      <c r="W409" s="397"/>
      <c r="X409" s="397">
        <f t="shared" si="89"/>
        <v>0</v>
      </c>
      <c r="Y409" s="397"/>
      <c r="Z409" s="435"/>
      <c r="AN409" s="316">
        <f>Q405-P405</f>
        <v>0</v>
      </c>
      <c r="AO409" s="323" t="e">
        <f>Q405/P405-100%</f>
        <v>#DIV/0!</v>
      </c>
    </row>
    <row r="410" spans="1:53" x14ac:dyDescent="0.2">
      <c r="A410" s="260" t="s">
        <v>149</v>
      </c>
      <c r="B410" s="261"/>
      <c r="C410" s="282">
        <v>1</v>
      </c>
      <c r="D410" s="293"/>
      <c r="E410" s="293"/>
      <c r="F410" s="293"/>
      <c r="G410" s="294" t="s">
        <v>705</v>
      </c>
      <c r="H410" s="280"/>
      <c r="I410" s="280"/>
      <c r="J410" s="280"/>
      <c r="K410" s="280"/>
      <c r="L410" s="281"/>
      <c r="M410" s="281"/>
      <c r="N410" s="281"/>
      <c r="O410" s="281"/>
      <c r="P410" s="313"/>
      <c r="Q410" s="313"/>
      <c r="R410" s="313"/>
      <c r="S410" s="313"/>
      <c r="T410" s="313"/>
      <c r="U410" s="313"/>
      <c r="V410" s="313"/>
      <c r="W410" s="313"/>
      <c r="X410" s="313"/>
      <c r="Y410" s="313"/>
      <c r="AN410" s="316">
        <f>Q406-P406</f>
        <v>-4923.6489999999994</v>
      </c>
      <c r="AO410" s="323">
        <f>Q406/P406-100%</f>
        <v>-0.42962687422160573</v>
      </c>
    </row>
    <row r="411" spans="1:53" x14ac:dyDescent="0.2">
      <c r="A411" s="260" t="s">
        <v>150</v>
      </c>
      <c r="B411" s="261" t="s">
        <v>615</v>
      </c>
      <c r="C411" s="282">
        <v>1</v>
      </c>
      <c r="D411" s="293"/>
      <c r="E411" s="293"/>
      <c r="F411" s="293"/>
      <c r="G411" s="294" t="s">
        <v>705</v>
      </c>
      <c r="H411" s="280"/>
      <c r="I411" s="280"/>
      <c r="J411" s="280"/>
      <c r="K411" s="280"/>
      <c r="L411" s="281">
        <f t="shared" ref="L411:T411" si="90">L399</f>
        <v>405.625</v>
      </c>
      <c r="M411" s="281">
        <f t="shared" si="90"/>
        <v>16.352</v>
      </c>
      <c r="N411" s="281">
        <f t="shared" si="90"/>
        <v>17.457000000000001</v>
      </c>
      <c r="O411" s="281">
        <f t="shared" si="90"/>
        <v>727.03300000000002</v>
      </c>
      <c r="P411" s="313">
        <f t="shared" si="90"/>
        <v>43.508000000000003</v>
      </c>
      <c r="Q411" s="313">
        <f t="shared" si="90"/>
        <v>300.11700000000002</v>
      </c>
      <c r="R411" s="313">
        <f t="shared" si="90"/>
        <v>4.2839999999999998</v>
      </c>
      <c r="S411" s="313">
        <f t="shared" si="90"/>
        <v>0</v>
      </c>
      <c r="T411" s="313">
        <f t="shared" si="90"/>
        <v>0</v>
      </c>
      <c r="U411" s="313"/>
      <c r="V411" s="313">
        <f>V399</f>
        <v>0</v>
      </c>
      <c r="W411" s="313"/>
      <c r="X411" s="313">
        <f>X399</f>
        <v>0</v>
      </c>
      <c r="Y411" s="313"/>
      <c r="AN411" s="316">
        <f>Q407-P407</f>
        <v>0.97</v>
      </c>
      <c r="AO411" s="323">
        <f>Q407/P407-100%</f>
        <v>1.3287671232876712</v>
      </c>
    </row>
    <row r="412" spans="1:53" ht="21" x14ac:dyDescent="0.2">
      <c r="A412" s="260" t="s">
        <v>151</v>
      </c>
      <c r="B412" s="261" t="s">
        <v>615</v>
      </c>
      <c r="C412" s="282">
        <v>1</v>
      </c>
      <c r="D412" s="293"/>
      <c r="E412" s="293"/>
      <c r="F412" s="293"/>
      <c r="G412" s="294" t="s">
        <v>705</v>
      </c>
      <c r="H412" s="280"/>
      <c r="I412" s="280"/>
      <c r="J412" s="280"/>
      <c r="K412" s="280"/>
      <c r="L412" s="281">
        <f>L400</f>
        <v>0</v>
      </c>
      <c r="M412" s="281">
        <f t="shared" ref="M412:T412" si="91">M400</f>
        <v>5</v>
      </c>
      <c r="N412" s="281">
        <f t="shared" si="91"/>
        <v>34.9</v>
      </c>
      <c r="O412" s="281">
        <f t="shared" si="91"/>
        <v>136.1</v>
      </c>
      <c r="P412" s="313">
        <f t="shared" si="91"/>
        <v>55.4</v>
      </c>
      <c r="Q412" s="313">
        <f t="shared" si="91"/>
        <v>79.197999999999993</v>
      </c>
      <c r="R412" s="313">
        <f t="shared" si="91"/>
        <v>10.673999999999999</v>
      </c>
      <c r="S412" s="313">
        <f t="shared" si="91"/>
        <v>0</v>
      </c>
      <c r="T412" s="313">
        <f t="shared" si="91"/>
        <v>0</v>
      </c>
      <c r="U412" s="313"/>
      <c r="V412" s="313">
        <f>V400</f>
        <v>0</v>
      </c>
      <c r="W412" s="313"/>
      <c r="X412" s="313">
        <f>X400</f>
        <v>0</v>
      </c>
      <c r="Y412" s="313"/>
      <c r="AN412" s="316">
        <f>Q408-P408</f>
        <v>9409.1000000000058</v>
      </c>
      <c r="AO412" s="323">
        <f>Q408/P408-100%</f>
        <v>7.4657680439324414E-2</v>
      </c>
    </row>
    <row r="413" spans="1:53" s="311" customFormat="1" ht="99.75" x14ac:dyDescent="0.2">
      <c r="A413" s="292" t="s">
        <v>1055</v>
      </c>
      <c r="B413" s="261"/>
      <c r="C413" s="282">
        <v>1</v>
      </c>
      <c r="D413" s="293"/>
      <c r="E413" s="293"/>
      <c r="F413" s="293"/>
      <c r="G413" s="294" t="s">
        <v>705</v>
      </c>
      <c r="H413" s="280"/>
      <c r="I413" s="280"/>
      <c r="J413" s="280"/>
      <c r="K413" s="280"/>
      <c r="L413" s="281"/>
      <c r="M413" s="281"/>
      <c r="N413" s="281"/>
      <c r="O413" s="281"/>
      <c r="P413" s="313"/>
      <c r="Q413" s="313"/>
      <c r="R413" s="313"/>
      <c r="S413" s="313"/>
      <c r="T413" s="313"/>
      <c r="U413" s="313"/>
      <c r="V413" s="313"/>
      <c r="W413" s="313"/>
      <c r="X413" s="313"/>
      <c r="Y413" s="313"/>
      <c r="AN413" s="316">
        <f>Q421-P421</f>
        <v>0</v>
      </c>
      <c r="AO413" s="323" t="e">
        <f>Q421/P421-100%</f>
        <v>#DIV/0!</v>
      </c>
      <c r="AP413" s="267"/>
      <c r="AQ413" s="267"/>
      <c r="AR413" s="267"/>
      <c r="AS413" s="267"/>
      <c r="AT413" s="267"/>
      <c r="AU413" s="267"/>
      <c r="AV413" s="267"/>
      <c r="AW413" s="267"/>
      <c r="AX413" s="267"/>
      <c r="AY413" s="267"/>
      <c r="AZ413" s="267"/>
      <c r="BA413" s="267"/>
    </row>
    <row r="414" spans="1:53" s="311" customFormat="1" ht="31.5" x14ac:dyDescent="0.2">
      <c r="A414" s="264" t="s">
        <v>1064</v>
      </c>
      <c r="B414" s="265" t="s">
        <v>896</v>
      </c>
      <c r="C414" s="282">
        <v>1</v>
      </c>
      <c r="D414" s="293"/>
      <c r="E414" s="293"/>
      <c r="F414" s="293"/>
      <c r="G414" s="294" t="s">
        <v>705</v>
      </c>
      <c r="H414" s="280"/>
      <c r="I414" s="280"/>
      <c r="J414" s="280"/>
      <c r="K414" s="280"/>
      <c r="L414" s="281">
        <f>L415+L435+L436</f>
        <v>510.67</v>
      </c>
      <c r="M414" s="281">
        <f t="shared" ref="M414:X414" si="92">M415+M435+M436</f>
        <v>671.94</v>
      </c>
      <c r="N414" s="281">
        <f t="shared" si="92"/>
        <v>1177.8000000000002</v>
      </c>
      <c r="O414" s="281">
        <f t="shared" si="92"/>
        <v>1349.73</v>
      </c>
      <c r="P414" s="281">
        <f t="shared" si="92"/>
        <v>1767.8000000000002</v>
      </c>
      <c r="Q414" s="281">
        <f t="shared" si="92"/>
        <v>1498</v>
      </c>
      <c r="R414" s="281">
        <f t="shared" si="92"/>
        <v>1777.6999999999998</v>
      </c>
      <c r="S414" s="281">
        <f t="shared" si="92"/>
        <v>1428.2</v>
      </c>
      <c r="T414" s="281">
        <f t="shared" si="92"/>
        <v>1405.5000000000002</v>
      </c>
      <c r="U414" s="281"/>
      <c r="V414" s="281">
        <f t="shared" si="92"/>
        <v>1419.0000000000002</v>
      </c>
      <c r="W414" s="281"/>
      <c r="X414" s="281">
        <f t="shared" si="92"/>
        <v>1435</v>
      </c>
      <c r="Y414" s="281"/>
      <c r="AN414" s="316" t="e">
        <f>#REF!-#REF!</f>
        <v>#REF!</v>
      </c>
      <c r="AO414" s="323" t="e">
        <f>#REF!/#REF!-100%</f>
        <v>#REF!</v>
      </c>
      <c r="AP414" s="267"/>
      <c r="AQ414" s="267"/>
      <c r="AR414" s="267"/>
      <c r="AS414" s="267"/>
      <c r="AT414" s="267"/>
      <c r="AU414" s="267"/>
      <c r="AV414" s="267"/>
      <c r="AW414" s="267"/>
      <c r="AX414" s="267"/>
      <c r="AY414" s="267"/>
      <c r="AZ414" s="267"/>
      <c r="BA414" s="267"/>
    </row>
    <row r="415" spans="1:53" s="311" customFormat="1" x14ac:dyDescent="0.2">
      <c r="A415" s="260" t="s">
        <v>1056</v>
      </c>
      <c r="B415" s="261" t="s">
        <v>896</v>
      </c>
      <c r="C415" s="282"/>
      <c r="D415" s="293"/>
      <c r="E415" s="293"/>
      <c r="F415" s="293"/>
      <c r="G415" s="294"/>
      <c r="H415" s="280"/>
      <c r="I415" s="280"/>
      <c r="J415" s="280"/>
      <c r="K415" s="280"/>
      <c r="L415" s="281">
        <f>L416+L428</f>
        <v>423.67</v>
      </c>
      <c r="M415" s="281">
        <f t="shared" ref="M415:X415" si="93">M416+M428</f>
        <v>584.94000000000005</v>
      </c>
      <c r="N415" s="281">
        <f t="shared" si="93"/>
        <v>912.10000000000014</v>
      </c>
      <c r="O415" s="281">
        <f t="shared" si="93"/>
        <v>1035.3800000000001</v>
      </c>
      <c r="P415" s="281">
        <f t="shared" si="93"/>
        <v>1270.9000000000001</v>
      </c>
      <c r="Q415" s="281">
        <f t="shared" si="93"/>
        <v>1094.8</v>
      </c>
      <c r="R415" s="281">
        <f t="shared" si="93"/>
        <v>1138.3999999999999</v>
      </c>
      <c r="S415" s="281">
        <f t="shared" si="93"/>
        <v>934.7</v>
      </c>
      <c r="T415" s="281">
        <f t="shared" si="93"/>
        <v>922.80000000000007</v>
      </c>
      <c r="U415" s="281"/>
      <c r="V415" s="281">
        <f t="shared" si="93"/>
        <v>936.30000000000007</v>
      </c>
      <c r="W415" s="281"/>
      <c r="X415" s="281">
        <f t="shared" si="93"/>
        <v>952.3</v>
      </c>
      <c r="Y415" s="281"/>
      <c r="AN415" s="316"/>
      <c r="AO415" s="323"/>
      <c r="AP415" s="267"/>
      <c r="AQ415" s="267"/>
      <c r="AR415" s="267"/>
      <c r="AS415" s="267"/>
      <c r="AT415" s="267"/>
      <c r="AU415" s="267"/>
      <c r="AV415" s="267"/>
      <c r="AW415" s="267"/>
      <c r="AX415" s="267"/>
      <c r="AY415" s="267"/>
      <c r="AZ415" s="267"/>
      <c r="BA415" s="267"/>
    </row>
    <row r="416" spans="1:53" s="311" customFormat="1" ht="42" x14ac:dyDescent="0.2">
      <c r="A416" s="264" t="s">
        <v>1057</v>
      </c>
      <c r="B416" s="265" t="s">
        <v>896</v>
      </c>
      <c r="C416" s="282"/>
      <c r="D416" s="293"/>
      <c r="E416" s="293"/>
      <c r="F416" s="293"/>
      <c r="G416" s="294"/>
      <c r="H416" s="280"/>
      <c r="I416" s="280"/>
      <c r="J416" s="280"/>
      <c r="K416" s="280"/>
      <c r="L416" s="313">
        <f>SUM(L417:L427)</f>
        <v>349.40000000000003</v>
      </c>
      <c r="M416" s="313">
        <f t="shared" ref="M416:T416" si="94">SUM(M417:M436)</f>
        <v>510.67</v>
      </c>
      <c r="N416" s="313">
        <f t="shared" si="94"/>
        <v>837.10000000000014</v>
      </c>
      <c r="O416" s="313">
        <f t="shared" si="94"/>
        <v>945.3900000000001</v>
      </c>
      <c r="P416" s="313">
        <f t="shared" si="94"/>
        <v>1076.9000000000001</v>
      </c>
      <c r="Q416" s="313">
        <f t="shared" si="94"/>
        <v>986.4</v>
      </c>
      <c r="R416" s="313">
        <f t="shared" si="94"/>
        <v>1050.9999999999998</v>
      </c>
      <c r="S416" s="313">
        <f t="shared" si="94"/>
        <v>861.5</v>
      </c>
      <c r="T416" s="313">
        <f t="shared" si="94"/>
        <v>855.7</v>
      </c>
      <c r="U416" s="313"/>
      <c r="V416" s="313">
        <f>SUM(V417:V436)</f>
        <v>869.90000000000009</v>
      </c>
      <c r="W416" s="313"/>
      <c r="X416" s="313">
        <f>SUM(X417:X436)</f>
        <v>885.9</v>
      </c>
      <c r="Y416" s="313"/>
      <c r="AN416" s="316"/>
      <c r="AO416" s="323"/>
      <c r="AP416" s="267"/>
      <c r="AQ416" s="267"/>
      <c r="AR416" s="267"/>
      <c r="AS416" s="267"/>
      <c r="AT416" s="267"/>
      <c r="AU416" s="267"/>
      <c r="AV416" s="267"/>
      <c r="AW416" s="267"/>
      <c r="AX416" s="267"/>
      <c r="AY416" s="267"/>
      <c r="AZ416" s="267"/>
      <c r="BA416" s="267"/>
    </row>
    <row r="417" spans="1:53" s="311" customFormat="1" x14ac:dyDescent="0.2">
      <c r="A417" s="260" t="s">
        <v>446</v>
      </c>
      <c r="B417" s="265"/>
      <c r="C417" s="282"/>
      <c r="D417" s="293"/>
      <c r="E417" s="293"/>
      <c r="F417" s="293"/>
      <c r="G417" s="294"/>
      <c r="H417" s="280"/>
      <c r="I417" s="280"/>
      <c r="J417" s="280"/>
      <c r="K417" s="280"/>
      <c r="L417" s="281"/>
      <c r="M417" s="281"/>
      <c r="N417" s="281"/>
      <c r="O417" s="281"/>
      <c r="P417" s="313"/>
      <c r="Q417" s="313"/>
      <c r="R417" s="313"/>
      <c r="S417" s="313"/>
      <c r="T417" s="313"/>
      <c r="U417" s="313"/>
      <c r="V417" s="313"/>
      <c r="W417" s="313"/>
      <c r="X417" s="313"/>
      <c r="Y417" s="313"/>
      <c r="AN417" s="316"/>
      <c r="AO417" s="323"/>
      <c r="AP417" s="267"/>
      <c r="AQ417" s="267"/>
      <c r="AR417" s="267"/>
      <c r="AS417" s="267"/>
      <c r="AT417" s="267"/>
      <c r="AU417" s="267"/>
      <c r="AV417" s="267"/>
      <c r="AW417" s="267"/>
      <c r="AX417" s="267"/>
      <c r="AY417" s="267"/>
      <c r="AZ417" s="267"/>
      <c r="BA417" s="267"/>
    </row>
    <row r="418" spans="1:53" s="311" customFormat="1" x14ac:dyDescent="0.2">
      <c r="A418" s="442" t="s">
        <v>488</v>
      </c>
      <c r="B418" s="261" t="s">
        <v>896</v>
      </c>
      <c r="C418" s="282">
        <v>1</v>
      </c>
      <c r="D418" s="293"/>
      <c r="E418" s="293"/>
      <c r="F418" s="293"/>
      <c r="G418" s="294" t="s">
        <v>705</v>
      </c>
      <c r="H418" s="280"/>
      <c r="I418" s="280"/>
      <c r="J418" s="280"/>
      <c r="K418" s="280"/>
      <c r="L418" s="313">
        <v>92.61</v>
      </c>
      <c r="M418" s="313">
        <v>92.61</v>
      </c>
      <c r="N418" s="313">
        <v>147.5</v>
      </c>
      <c r="O418" s="313">
        <v>152.83000000000001</v>
      </c>
      <c r="P418" s="313">
        <v>94.3</v>
      </c>
      <c r="Q418" s="328">
        <v>130.69999999999999</v>
      </c>
      <c r="R418" s="328">
        <v>0</v>
      </c>
      <c r="S418" s="328">
        <v>0</v>
      </c>
      <c r="T418" s="328">
        <v>0</v>
      </c>
      <c r="U418" s="328"/>
      <c r="V418" s="328">
        <v>0</v>
      </c>
      <c r="W418" s="328"/>
      <c r="X418" s="328">
        <v>0</v>
      </c>
      <c r="Y418" s="328"/>
      <c r="AN418" s="316">
        <f>Q427-P427</f>
        <v>1.0999999999999996</v>
      </c>
      <c r="AO418" s="323">
        <f>Q427/P427-100%</f>
        <v>0.18644067796610164</v>
      </c>
      <c r="AP418" s="267"/>
      <c r="AQ418" s="267"/>
      <c r="AR418" s="267"/>
      <c r="AS418" s="267"/>
      <c r="AT418" s="267"/>
      <c r="AU418" s="267"/>
      <c r="AV418" s="267"/>
      <c r="AW418" s="267"/>
      <c r="AX418" s="267"/>
      <c r="AY418" s="267"/>
      <c r="AZ418" s="267"/>
      <c r="BA418" s="267"/>
    </row>
    <row r="419" spans="1:53" s="311" customFormat="1" x14ac:dyDescent="0.2">
      <c r="A419" s="442" t="s">
        <v>155</v>
      </c>
      <c r="B419" s="261" t="s">
        <v>896</v>
      </c>
      <c r="C419" s="282">
        <v>1</v>
      </c>
      <c r="D419" s="293"/>
      <c r="E419" s="293"/>
      <c r="F419" s="293"/>
      <c r="G419" s="294" t="s">
        <v>705</v>
      </c>
      <c r="H419" s="280"/>
      <c r="I419" s="280"/>
      <c r="J419" s="280"/>
      <c r="K419" s="280"/>
      <c r="L419" s="313">
        <v>190.7</v>
      </c>
      <c r="M419" s="313">
        <v>190.7</v>
      </c>
      <c r="N419" s="313">
        <v>217.5</v>
      </c>
      <c r="O419" s="313">
        <v>249.28</v>
      </c>
      <c r="P419" s="313">
        <v>179.8</v>
      </c>
      <c r="Q419" s="328">
        <v>190.7</v>
      </c>
      <c r="R419" s="328">
        <v>148.1</v>
      </c>
      <c r="S419" s="328">
        <v>157.1</v>
      </c>
      <c r="T419" s="328">
        <v>167.5</v>
      </c>
      <c r="U419" s="328"/>
      <c r="V419" s="328">
        <v>181.5</v>
      </c>
      <c r="W419" s="328"/>
      <c r="X419" s="328">
        <v>196.7</v>
      </c>
      <c r="Y419" s="328"/>
      <c r="AN419" s="316">
        <f>Q428-P428</f>
        <v>-85.6</v>
      </c>
      <c r="AO419" s="323">
        <f>Q428/P428-100%</f>
        <v>-0.44123711340206184</v>
      </c>
      <c r="AP419" s="267"/>
      <c r="AQ419" s="267"/>
      <c r="AR419" s="267"/>
      <c r="AS419" s="267"/>
      <c r="AT419" s="267"/>
      <c r="AU419" s="267"/>
      <c r="AV419" s="267"/>
      <c r="AW419" s="267"/>
      <c r="AX419" s="267"/>
      <c r="AY419" s="267"/>
      <c r="AZ419" s="267"/>
      <c r="BA419" s="267"/>
    </row>
    <row r="420" spans="1:53" s="403" customFormat="1" hidden="1" x14ac:dyDescent="0.2">
      <c r="A420" s="442" t="s">
        <v>156</v>
      </c>
      <c r="B420" s="261" t="s">
        <v>896</v>
      </c>
      <c r="C420" s="295">
        <v>1</v>
      </c>
      <c r="D420" s="296"/>
      <c r="E420" s="296"/>
      <c r="F420" s="296"/>
      <c r="G420" s="297" t="s">
        <v>705</v>
      </c>
      <c r="H420" s="298"/>
      <c r="I420" s="298"/>
      <c r="J420" s="298"/>
      <c r="K420" s="298"/>
      <c r="L420" s="313"/>
      <c r="M420" s="313"/>
      <c r="N420" s="313"/>
      <c r="O420" s="313"/>
      <c r="P420" s="313"/>
      <c r="Q420" s="313"/>
      <c r="R420" s="313"/>
      <c r="S420" s="313"/>
      <c r="T420" s="313"/>
      <c r="U420" s="313"/>
      <c r="V420" s="313"/>
      <c r="W420" s="313"/>
      <c r="X420" s="313"/>
      <c r="Y420" s="313"/>
      <c r="Z420" s="311"/>
      <c r="AA420" s="405" t="e">
        <f>#REF!+#REF!</f>
        <v>#REF!</v>
      </c>
      <c r="AB420" s="405" t="e">
        <f>#REF!+#REF!</f>
        <v>#REF!</v>
      </c>
      <c r="AC420" s="405" t="e">
        <f>#REF!+#REF!</f>
        <v>#REF!</v>
      </c>
      <c r="AD420" s="405" t="e">
        <f>#REF!+#REF!</f>
        <v>#REF!</v>
      </c>
      <c r="AE420" s="405" t="e">
        <f>#REF!+#REF!</f>
        <v>#REF!</v>
      </c>
      <c r="AF420" s="405" t="s">
        <v>264</v>
      </c>
      <c r="AN420" s="316" t="e">
        <f>#REF!-#REF!</f>
        <v>#REF!</v>
      </c>
      <c r="AO420" s="323" t="e">
        <f>#REF!/#REF!-100%</f>
        <v>#REF!</v>
      </c>
      <c r="AP420" s="266"/>
      <c r="AQ420" s="266"/>
      <c r="AR420" s="266"/>
      <c r="AS420" s="266"/>
      <c r="AT420" s="266"/>
      <c r="AU420" s="266"/>
      <c r="AV420" s="266"/>
      <c r="AW420" s="266"/>
      <c r="AX420" s="266"/>
      <c r="AY420" s="266"/>
      <c r="AZ420" s="266"/>
      <c r="BA420" s="266"/>
    </row>
    <row r="421" spans="1:53" s="311" customFormat="1" x14ac:dyDescent="0.2">
      <c r="A421" s="442" t="s">
        <v>492</v>
      </c>
      <c r="B421" s="261" t="s">
        <v>896</v>
      </c>
      <c r="C421" s="282">
        <v>1</v>
      </c>
      <c r="D421" s="293"/>
      <c r="E421" s="293"/>
      <c r="F421" s="293"/>
      <c r="G421" s="294" t="s">
        <v>705</v>
      </c>
      <c r="H421" s="280"/>
      <c r="I421" s="280"/>
      <c r="J421" s="280"/>
      <c r="K421" s="280"/>
      <c r="L421" s="313"/>
      <c r="M421" s="313"/>
      <c r="N421" s="313"/>
      <c r="O421" s="313"/>
      <c r="P421" s="313"/>
      <c r="Q421" s="313"/>
      <c r="R421" s="313">
        <v>1.1000000000000001</v>
      </c>
      <c r="S421" s="313">
        <v>2</v>
      </c>
      <c r="T421" s="313">
        <v>2.2999999999999998</v>
      </c>
      <c r="U421" s="313"/>
      <c r="V421" s="313">
        <v>2</v>
      </c>
      <c r="W421" s="313"/>
      <c r="X421" s="313">
        <v>2</v>
      </c>
      <c r="Y421" s="313"/>
      <c r="AN421" s="316" t="e">
        <f>#REF!-#REF!</f>
        <v>#REF!</v>
      </c>
      <c r="AO421" s="323" t="e">
        <f>#REF!/#REF!-100%</f>
        <v>#REF!</v>
      </c>
      <c r="AP421" s="267"/>
      <c r="AQ421" s="267"/>
      <c r="AR421" s="267"/>
      <c r="AS421" s="267"/>
      <c r="AT421" s="267"/>
      <c r="AU421" s="267"/>
      <c r="AV421" s="267"/>
      <c r="AW421" s="267"/>
      <c r="AX421" s="267"/>
      <c r="AY421" s="267"/>
      <c r="AZ421" s="267"/>
      <c r="BA421" s="267"/>
    </row>
    <row r="422" spans="1:53" s="311" customFormat="1" ht="21" x14ac:dyDescent="0.2">
      <c r="A422" s="260" t="s">
        <v>1065</v>
      </c>
      <c r="B422" s="261" t="s">
        <v>896</v>
      </c>
      <c r="C422" s="282">
        <v>1</v>
      </c>
      <c r="D422" s="293"/>
      <c r="E422" s="293"/>
      <c r="F422" s="293"/>
      <c r="G422" s="294" t="s">
        <v>705</v>
      </c>
      <c r="H422" s="280"/>
      <c r="I422" s="280"/>
      <c r="J422" s="280"/>
      <c r="K422" s="280"/>
      <c r="L422" s="313">
        <v>41.56</v>
      </c>
      <c r="M422" s="313">
        <v>41.56</v>
      </c>
      <c r="N422" s="313">
        <v>48.6</v>
      </c>
      <c r="O422" s="313">
        <v>52.75</v>
      </c>
      <c r="P422" s="313">
        <v>39.5</v>
      </c>
      <c r="Q422" s="328">
        <v>36.4</v>
      </c>
      <c r="R422" s="328">
        <v>38.1</v>
      </c>
      <c r="S422" s="328">
        <v>40.1</v>
      </c>
      <c r="T422" s="328">
        <v>40.700000000000003</v>
      </c>
      <c r="U422" s="328"/>
      <c r="V422" s="328">
        <v>41.3</v>
      </c>
      <c r="W422" s="328"/>
      <c r="X422" s="328">
        <v>41.5</v>
      </c>
      <c r="Y422" s="328"/>
      <c r="AN422" s="316">
        <f>Q428-P428</f>
        <v>-85.6</v>
      </c>
      <c r="AO422" s="323">
        <f>Q428/P428-100%</f>
        <v>-0.44123711340206184</v>
      </c>
      <c r="AP422" s="267"/>
      <c r="AQ422" s="267"/>
      <c r="AR422" s="267"/>
      <c r="AS422" s="267"/>
      <c r="AT422" s="267"/>
      <c r="AU422" s="267"/>
      <c r="AV422" s="267"/>
      <c r="AW422" s="267"/>
      <c r="AX422" s="267"/>
      <c r="AY422" s="267"/>
      <c r="AZ422" s="267"/>
      <c r="BA422" s="267"/>
    </row>
    <row r="423" spans="1:53" s="311" customFormat="1" x14ac:dyDescent="0.2">
      <c r="A423" s="260" t="s">
        <v>85</v>
      </c>
      <c r="B423" s="261" t="s">
        <v>896</v>
      </c>
      <c r="C423" s="282">
        <v>1</v>
      </c>
      <c r="D423" s="293"/>
      <c r="E423" s="293"/>
      <c r="F423" s="293"/>
      <c r="G423" s="294" t="s">
        <v>705</v>
      </c>
      <c r="H423" s="280"/>
      <c r="I423" s="280"/>
      <c r="J423" s="280"/>
      <c r="K423" s="280"/>
      <c r="L423" s="313">
        <v>17.8</v>
      </c>
      <c r="M423" s="313">
        <v>17.8</v>
      </c>
      <c r="N423" s="313">
        <v>65.3</v>
      </c>
      <c r="O423" s="313">
        <v>68.45</v>
      </c>
      <c r="P423" s="313">
        <v>66.5</v>
      </c>
      <c r="Q423" s="328">
        <v>110</v>
      </c>
      <c r="R423" s="328">
        <v>126</v>
      </c>
      <c r="S423" s="328">
        <v>80.3</v>
      </c>
      <c r="T423" s="328">
        <v>80.8</v>
      </c>
      <c r="U423" s="328"/>
      <c r="V423" s="328">
        <v>81.3</v>
      </c>
      <c r="W423" s="328"/>
      <c r="X423" s="328">
        <v>81.599999999999994</v>
      </c>
      <c r="Y423" s="328"/>
      <c r="AN423" s="316">
        <f>Q435-P435</f>
        <v>-91.899999999999977</v>
      </c>
      <c r="AO423" s="323">
        <f>Q435/P435-100%</f>
        <v>-0.18502113952083754</v>
      </c>
      <c r="AP423" s="267"/>
      <c r="AQ423" s="267"/>
      <c r="AR423" s="267"/>
      <c r="AS423" s="267"/>
      <c r="AT423" s="267"/>
      <c r="AU423" s="267"/>
      <c r="AV423" s="267"/>
      <c r="AW423" s="267"/>
      <c r="AX423" s="267"/>
      <c r="AY423" s="267"/>
      <c r="AZ423" s="267"/>
      <c r="BA423" s="267"/>
    </row>
    <row r="424" spans="1:53" s="311" customFormat="1" hidden="1" x14ac:dyDescent="0.2">
      <c r="A424" s="260" t="s">
        <v>1066</v>
      </c>
      <c r="B424" s="261" t="s">
        <v>896</v>
      </c>
      <c r="C424" s="282"/>
      <c r="D424" s="293"/>
      <c r="E424" s="293"/>
      <c r="F424" s="293"/>
      <c r="G424" s="294"/>
      <c r="H424" s="280"/>
      <c r="I424" s="280"/>
      <c r="J424" s="280"/>
      <c r="K424" s="280"/>
      <c r="L424" s="313"/>
      <c r="M424" s="313"/>
      <c r="N424" s="313"/>
      <c r="O424" s="313"/>
      <c r="P424" s="313"/>
      <c r="Q424" s="328"/>
      <c r="R424" s="328"/>
      <c r="S424" s="328"/>
      <c r="T424" s="328"/>
      <c r="U424" s="328"/>
      <c r="V424" s="328"/>
      <c r="W424" s="328"/>
      <c r="X424" s="328"/>
      <c r="Y424" s="328"/>
      <c r="AN424" s="316"/>
      <c r="AO424" s="323"/>
      <c r="AP424" s="267"/>
      <c r="AQ424" s="267"/>
      <c r="AR424" s="267"/>
      <c r="AS424" s="267"/>
      <c r="AT424" s="267"/>
      <c r="AU424" s="267"/>
      <c r="AV424" s="267"/>
      <c r="AW424" s="267"/>
      <c r="AX424" s="267"/>
      <c r="AY424" s="267"/>
      <c r="AZ424" s="267"/>
      <c r="BA424" s="267"/>
    </row>
    <row r="425" spans="1:53" s="311" customFormat="1" hidden="1" x14ac:dyDescent="0.2">
      <c r="A425" s="260" t="s">
        <v>1059</v>
      </c>
      <c r="B425" s="261" t="s">
        <v>896</v>
      </c>
      <c r="C425" s="282"/>
      <c r="D425" s="293"/>
      <c r="E425" s="293"/>
      <c r="F425" s="293"/>
      <c r="G425" s="294"/>
      <c r="H425" s="280"/>
      <c r="I425" s="280"/>
      <c r="J425" s="280"/>
      <c r="K425" s="280"/>
      <c r="L425" s="313"/>
      <c r="M425" s="313"/>
      <c r="N425" s="313"/>
      <c r="O425" s="313"/>
      <c r="P425" s="313"/>
      <c r="Q425" s="328"/>
      <c r="R425" s="328"/>
      <c r="S425" s="328"/>
      <c r="T425" s="328"/>
      <c r="U425" s="328"/>
      <c r="V425" s="328"/>
      <c r="W425" s="328"/>
      <c r="X425" s="328"/>
      <c r="Y425" s="328"/>
      <c r="AN425" s="316"/>
      <c r="AO425" s="323"/>
      <c r="AP425" s="267"/>
      <c r="AQ425" s="267"/>
      <c r="AR425" s="267"/>
      <c r="AS425" s="267"/>
      <c r="AT425" s="267"/>
      <c r="AU425" s="267"/>
      <c r="AV425" s="267"/>
      <c r="AW425" s="267"/>
      <c r="AX425" s="267"/>
      <c r="AY425" s="267"/>
      <c r="AZ425" s="267"/>
      <c r="BA425" s="267"/>
    </row>
    <row r="426" spans="1:53" s="311" customFormat="1" hidden="1" x14ac:dyDescent="0.2">
      <c r="A426" s="260" t="s">
        <v>1067</v>
      </c>
      <c r="B426" s="261" t="s">
        <v>896</v>
      </c>
      <c r="C426" s="282"/>
      <c r="D426" s="293"/>
      <c r="E426" s="293"/>
      <c r="F426" s="293"/>
      <c r="G426" s="294"/>
      <c r="H426" s="280"/>
      <c r="I426" s="280"/>
      <c r="J426" s="280"/>
      <c r="K426" s="280"/>
      <c r="L426" s="313"/>
      <c r="M426" s="313"/>
      <c r="N426" s="313"/>
      <c r="O426" s="313"/>
      <c r="P426" s="313"/>
      <c r="Q426" s="328"/>
      <c r="R426" s="328"/>
      <c r="S426" s="328"/>
      <c r="T426" s="328"/>
      <c r="U426" s="328"/>
      <c r="V426" s="328"/>
      <c r="W426" s="328"/>
      <c r="X426" s="328"/>
      <c r="Y426" s="328"/>
      <c r="AN426" s="316"/>
      <c r="AO426" s="323"/>
      <c r="AP426" s="267"/>
      <c r="AQ426" s="267"/>
      <c r="AR426" s="267"/>
      <c r="AS426" s="267"/>
      <c r="AT426" s="267"/>
      <c r="AU426" s="267"/>
      <c r="AV426" s="267"/>
      <c r="AW426" s="267"/>
      <c r="AX426" s="267"/>
      <c r="AY426" s="267"/>
      <c r="AZ426" s="267"/>
      <c r="BA426" s="267"/>
    </row>
    <row r="427" spans="1:53" s="311" customFormat="1" x14ac:dyDescent="0.2">
      <c r="A427" s="260" t="s">
        <v>575</v>
      </c>
      <c r="B427" s="261" t="s">
        <v>896</v>
      </c>
      <c r="C427" s="282"/>
      <c r="D427" s="293"/>
      <c r="E427" s="293"/>
      <c r="F427" s="293"/>
      <c r="G427" s="294"/>
      <c r="H427" s="280"/>
      <c r="I427" s="280"/>
      <c r="J427" s="280"/>
      <c r="K427" s="280"/>
      <c r="L427" s="313">
        <v>6.73</v>
      </c>
      <c r="M427" s="313">
        <v>6.73</v>
      </c>
      <c r="N427" s="313">
        <v>17.5</v>
      </c>
      <c r="O427" s="313">
        <v>17.739999999999998</v>
      </c>
      <c r="P427" s="313">
        <v>5.9</v>
      </c>
      <c r="Q427" s="328">
        <v>7</v>
      </c>
      <c r="R427" s="328">
        <v>11</v>
      </c>
      <c r="S427" s="328">
        <v>15.3</v>
      </c>
      <c r="T427" s="328">
        <v>14.6</v>
      </c>
      <c r="U427" s="328"/>
      <c r="V427" s="328">
        <v>14.7</v>
      </c>
      <c r="W427" s="328"/>
      <c r="X427" s="328">
        <v>15</v>
      </c>
      <c r="Y427" s="328"/>
      <c r="AN427" s="316">
        <f>Q437-P437</f>
        <v>102.28000000000009</v>
      </c>
      <c r="AO427" s="323">
        <f>Q437/P437-100%</f>
        <v>0.10085591448743747</v>
      </c>
      <c r="AP427" s="267"/>
      <c r="AQ427" s="267"/>
      <c r="AR427" s="267"/>
      <c r="AS427" s="267"/>
      <c r="AT427" s="267"/>
      <c r="AU427" s="267"/>
      <c r="AV427" s="267"/>
      <c r="AW427" s="267"/>
      <c r="AX427" s="267"/>
      <c r="AY427" s="267"/>
      <c r="AZ427" s="267"/>
      <c r="BA427" s="267"/>
    </row>
    <row r="428" spans="1:53" s="311" customFormat="1" x14ac:dyDescent="0.2">
      <c r="A428" s="264" t="s">
        <v>293</v>
      </c>
      <c r="B428" s="265" t="s">
        <v>896</v>
      </c>
      <c r="C428" s="282">
        <v>1</v>
      </c>
      <c r="D428" s="293"/>
      <c r="E428" s="293"/>
      <c r="F428" s="293"/>
      <c r="G428" s="294" t="s">
        <v>705</v>
      </c>
      <c r="H428" s="280"/>
      <c r="I428" s="280"/>
      <c r="J428" s="280"/>
      <c r="K428" s="280"/>
      <c r="L428" s="313">
        <v>74.27</v>
      </c>
      <c r="M428" s="313">
        <v>74.27</v>
      </c>
      <c r="N428" s="313">
        <v>75</v>
      </c>
      <c r="O428" s="313">
        <v>89.99</v>
      </c>
      <c r="P428" s="313">
        <v>194</v>
      </c>
      <c r="Q428" s="328">
        <v>108.4</v>
      </c>
      <c r="R428" s="328">
        <v>87.4</v>
      </c>
      <c r="S428" s="328">
        <v>73.2</v>
      </c>
      <c r="T428" s="328">
        <v>67.099999999999994</v>
      </c>
      <c r="U428" s="328"/>
      <c r="V428" s="328">
        <v>66.400000000000006</v>
      </c>
      <c r="W428" s="328"/>
      <c r="X428" s="328">
        <v>66.400000000000006</v>
      </c>
      <c r="Y428" s="328"/>
      <c r="AN428" s="316" t="e">
        <f>#REF!-#REF!</f>
        <v>#REF!</v>
      </c>
      <c r="AO428" s="323" t="e">
        <f>#REF!/#REF!-100%</f>
        <v>#REF!</v>
      </c>
      <c r="AP428" s="267"/>
      <c r="AQ428" s="267"/>
      <c r="AR428" s="267"/>
      <c r="AS428" s="267"/>
      <c r="AT428" s="267"/>
      <c r="AU428" s="267"/>
      <c r="AV428" s="267"/>
      <c r="AW428" s="267"/>
      <c r="AX428" s="267"/>
      <c r="AY428" s="267"/>
      <c r="AZ428" s="267"/>
      <c r="BA428" s="267"/>
    </row>
    <row r="429" spans="1:53" s="311" customFormat="1" hidden="1" x14ac:dyDescent="0.2">
      <c r="A429" s="260" t="s">
        <v>446</v>
      </c>
      <c r="B429" s="261"/>
      <c r="C429" s="282"/>
      <c r="D429" s="293"/>
      <c r="E429" s="293"/>
      <c r="F429" s="293"/>
      <c r="G429" s="294"/>
      <c r="H429" s="280"/>
      <c r="I429" s="280"/>
      <c r="J429" s="280"/>
      <c r="K429" s="280"/>
      <c r="L429" s="313"/>
      <c r="M429" s="313"/>
      <c r="N429" s="313"/>
      <c r="O429" s="313"/>
      <c r="P429" s="313"/>
      <c r="Q429" s="328"/>
      <c r="R429" s="328"/>
      <c r="S429" s="328"/>
      <c r="T429" s="328"/>
      <c r="U429" s="328"/>
      <c r="V429" s="328"/>
      <c r="W429" s="328"/>
      <c r="X429" s="328"/>
      <c r="Y429" s="328"/>
      <c r="AN429" s="316"/>
      <c r="AO429" s="323"/>
      <c r="AP429" s="267"/>
      <c r="AQ429" s="267"/>
      <c r="AR429" s="267"/>
      <c r="AS429" s="267"/>
      <c r="AT429" s="267"/>
      <c r="AU429" s="267"/>
      <c r="AV429" s="267"/>
      <c r="AW429" s="267"/>
      <c r="AX429" s="267"/>
      <c r="AY429" s="267"/>
      <c r="AZ429" s="267"/>
      <c r="BA429" s="267"/>
    </row>
    <row r="430" spans="1:53" s="311" customFormat="1" hidden="1" x14ac:dyDescent="0.2">
      <c r="A430" s="260" t="s">
        <v>1060</v>
      </c>
      <c r="B430" s="261" t="s">
        <v>896</v>
      </c>
      <c r="C430" s="282"/>
      <c r="D430" s="293"/>
      <c r="E430" s="293"/>
      <c r="F430" s="293"/>
      <c r="G430" s="294"/>
      <c r="H430" s="280"/>
      <c r="I430" s="280"/>
      <c r="J430" s="280"/>
      <c r="K430" s="280"/>
      <c r="L430" s="313"/>
      <c r="M430" s="313"/>
      <c r="N430" s="313"/>
      <c r="O430" s="313"/>
      <c r="P430" s="313"/>
      <c r="Q430" s="328"/>
      <c r="R430" s="328"/>
      <c r="S430" s="328"/>
      <c r="T430" s="328"/>
      <c r="U430" s="328"/>
      <c r="V430" s="328"/>
      <c r="W430" s="328"/>
      <c r="X430" s="328"/>
      <c r="Y430" s="328"/>
      <c r="AN430" s="316"/>
      <c r="AO430" s="323"/>
      <c r="AP430" s="267"/>
      <c r="AQ430" s="267"/>
      <c r="AR430" s="267"/>
      <c r="AS430" s="267"/>
      <c r="AT430" s="267"/>
      <c r="AU430" s="267"/>
      <c r="AV430" s="267"/>
      <c r="AW430" s="267"/>
      <c r="AX430" s="267"/>
      <c r="AY430" s="267"/>
      <c r="AZ430" s="267"/>
      <c r="BA430" s="267"/>
    </row>
    <row r="431" spans="1:53" s="311" customFormat="1" hidden="1" x14ac:dyDescent="0.2">
      <c r="A431" s="260" t="s">
        <v>1061</v>
      </c>
      <c r="B431" s="261" t="s">
        <v>896</v>
      </c>
      <c r="C431" s="282"/>
      <c r="D431" s="293"/>
      <c r="E431" s="293"/>
      <c r="F431" s="293"/>
      <c r="G431" s="294"/>
      <c r="H431" s="280"/>
      <c r="I431" s="280"/>
      <c r="J431" s="280"/>
      <c r="K431" s="280"/>
      <c r="L431" s="313"/>
      <c r="M431" s="313"/>
      <c r="N431" s="313"/>
      <c r="O431" s="313"/>
      <c r="P431" s="313"/>
      <c r="Q431" s="328"/>
      <c r="R431" s="328"/>
      <c r="S431" s="328"/>
      <c r="T431" s="328"/>
      <c r="U431" s="328"/>
      <c r="V431" s="328"/>
      <c r="W431" s="328"/>
      <c r="X431" s="328"/>
      <c r="Y431" s="328"/>
      <c r="AN431" s="316"/>
      <c r="AO431" s="323"/>
      <c r="AP431" s="267"/>
      <c r="AQ431" s="267"/>
      <c r="AR431" s="267"/>
      <c r="AS431" s="267"/>
      <c r="AT431" s="267"/>
      <c r="AU431" s="267"/>
      <c r="AV431" s="267"/>
      <c r="AW431" s="267"/>
      <c r="AX431" s="267"/>
      <c r="AY431" s="267"/>
      <c r="AZ431" s="267"/>
      <c r="BA431" s="267"/>
    </row>
    <row r="432" spans="1:53" s="311" customFormat="1" hidden="1" x14ac:dyDescent="0.2">
      <c r="A432" s="260" t="s">
        <v>1062</v>
      </c>
      <c r="B432" s="261" t="s">
        <v>896</v>
      </c>
      <c r="C432" s="282"/>
      <c r="D432" s="293"/>
      <c r="E432" s="293"/>
      <c r="F432" s="293"/>
      <c r="G432" s="294"/>
      <c r="H432" s="280"/>
      <c r="I432" s="280"/>
      <c r="J432" s="280"/>
      <c r="K432" s="280"/>
      <c r="L432" s="313"/>
      <c r="M432" s="313"/>
      <c r="N432" s="313"/>
      <c r="O432" s="313"/>
      <c r="P432" s="313"/>
      <c r="Q432" s="328"/>
      <c r="R432" s="328"/>
      <c r="S432" s="328"/>
      <c r="T432" s="328"/>
      <c r="U432" s="328"/>
      <c r="V432" s="328"/>
      <c r="W432" s="328"/>
      <c r="X432" s="328"/>
      <c r="Y432" s="328"/>
      <c r="AN432" s="316"/>
      <c r="AO432" s="323"/>
      <c r="AP432" s="267"/>
      <c r="AQ432" s="267"/>
      <c r="AR432" s="267"/>
      <c r="AS432" s="267"/>
      <c r="AT432" s="267"/>
      <c r="AU432" s="267"/>
      <c r="AV432" s="267"/>
      <c r="AW432" s="267"/>
      <c r="AX432" s="267"/>
      <c r="AY432" s="267"/>
      <c r="AZ432" s="267"/>
      <c r="BA432" s="267"/>
    </row>
    <row r="433" spans="1:53" s="311" customFormat="1" hidden="1" x14ac:dyDescent="0.2">
      <c r="A433" s="260" t="s">
        <v>1058</v>
      </c>
      <c r="B433" s="261"/>
      <c r="C433" s="282"/>
      <c r="D433" s="293"/>
      <c r="E433" s="293"/>
      <c r="F433" s="293"/>
      <c r="G433" s="294"/>
      <c r="H433" s="280"/>
      <c r="I433" s="280"/>
      <c r="J433" s="280"/>
      <c r="K433" s="280"/>
      <c r="L433" s="313"/>
      <c r="M433" s="313"/>
      <c r="N433" s="313"/>
      <c r="O433" s="313"/>
      <c r="P433" s="313"/>
      <c r="Q433" s="328"/>
      <c r="R433" s="328"/>
      <c r="S433" s="328"/>
      <c r="T433" s="328"/>
      <c r="U433" s="328"/>
      <c r="V433" s="328"/>
      <c r="W433" s="328"/>
      <c r="X433" s="328"/>
      <c r="Y433" s="328"/>
      <c r="AN433" s="316"/>
      <c r="AO433" s="323"/>
      <c r="AP433" s="267"/>
      <c r="AQ433" s="267"/>
      <c r="AR433" s="267"/>
      <c r="AS433" s="267"/>
      <c r="AT433" s="267"/>
      <c r="AU433" s="267"/>
      <c r="AV433" s="267"/>
      <c r="AW433" s="267"/>
      <c r="AX433" s="267"/>
      <c r="AY433" s="267"/>
      <c r="AZ433" s="267"/>
      <c r="BA433" s="267"/>
    </row>
    <row r="434" spans="1:53" s="311" customFormat="1" ht="21" hidden="1" x14ac:dyDescent="0.2">
      <c r="A434" s="260" t="s">
        <v>1063</v>
      </c>
      <c r="B434" s="261" t="s">
        <v>896</v>
      </c>
      <c r="C434" s="282"/>
      <c r="D434" s="293"/>
      <c r="E434" s="293"/>
      <c r="F434" s="293"/>
      <c r="G434" s="294"/>
      <c r="H434" s="280"/>
      <c r="I434" s="280"/>
      <c r="J434" s="280"/>
      <c r="K434" s="280"/>
      <c r="L434" s="313"/>
      <c r="M434" s="313"/>
      <c r="N434" s="313"/>
      <c r="O434" s="313"/>
      <c r="P434" s="313"/>
      <c r="Q434" s="328"/>
      <c r="R434" s="328"/>
      <c r="S434" s="328"/>
      <c r="T434" s="328"/>
      <c r="U434" s="328"/>
      <c r="V434" s="328"/>
      <c r="W434" s="328"/>
      <c r="X434" s="328"/>
      <c r="Y434" s="328"/>
      <c r="AN434" s="316"/>
      <c r="AO434" s="323"/>
      <c r="AP434" s="267"/>
      <c r="AQ434" s="267"/>
      <c r="AR434" s="267"/>
      <c r="AS434" s="267"/>
      <c r="AT434" s="267"/>
      <c r="AU434" s="267"/>
      <c r="AV434" s="267"/>
      <c r="AW434" s="267"/>
      <c r="AX434" s="267"/>
      <c r="AY434" s="267"/>
      <c r="AZ434" s="267"/>
      <c r="BA434" s="267"/>
    </row>
    <row r="435" spans="1:53" s="311" customFormat="1" ht="21" hidden="1" x14ac:dyDescent="0.2">
      <c r="A435" s="260" t="s">
        <v>319</v>
      </c>
      <c r="B435" s="261" t="s">
        <v>896</v>
      </c>
      <c r="C435" s="282">
        <v>1</v>
      </c>
      <c r="D435" s="293"/>
      <c r="E435" s="293"/>
      <c r="F435" s="293"/>
      <c r="G435" s="294" t="s">
        <v>705</v>
      </c>
      <c r="H435" s="280"/>
      <c r="I435" s="280"/>
      <c r="J435" s="280"/>
      <c r="K435" s="280"/>
      <c r="L435" s="313">
        <v>0</v>
      </c>
      <c r="M435" s="313">
        <v>0</v>
      </c>
      <c r="N435" s="313">
        <v>265.60000000000002</v>
      </c>
      <c r="O435" s="313">
        <v>314.25</v>
      </c>
      <c r="P435" s="313">
        <v>496.7</v>
      </c>
      <c r="Q435" s="313">
        <v>404.8</v>
      </c>
      <c r="R435" s="313">
        <v>640</v>
      </c>
      <c r="S435" s="313">
        <v>494.5</v>
      </c>
      <c r="T435" s="313">
        <v>482.5</v>
      </c>
      <c r="U435" s="313"/>
      <c r="V435" s="313">
        <v>482.5</v>
      </c>
      <c r="W435" s="313"/>
      <c r="X435" s="313">
        <v>482.5</v>
      </c>
      <c r="Y435" s="313"/>
      <c r="AN435" s="316">
        <v>266.90300000000002</v>
      </c>
      <c r="AO435" s="323">
        <v>2.4023672367236726</v>
      </c>
      <c r="AP435" s="267"/>
      <c r="AQ435" s="267"/>
      <c r="AR435" s="267"/>
      <c r="AS435" s="267"/>
      <c r="AT435" s="267"/>
      <c r="AU435" s="267"/>
      <c r="AV435" s="267"/>
      <c r="AW435" s="267"/>
      <c r="AX435" s="267"/>
      <c r="AY435" s="267"/>
      <c r="AZ435" s="267"/>
      <c r="BA435" s="267"/>
    </row>
    <row r="436" spans="1:53" s="311" customFormat="1" hidden="1" x14ac:dyDescent="0.2">
      <c r="A436" s="260" t="s">
        <v>317</v>
      </c>
      <c r="B436" s="261" t="s">
        <v>896</v>
      </c>
      <c r="C436" s="282"/>
      <c r="D436" s="293"/>
      <c r="E436" s="293"/>
      <c r="F436" s="293"/>
      <c r="G436" s="294"/>
      <c r="H436" s="280"/>
      <c r="I436" s="280"/>
      <c r="J436" s="280"/>
      <c r="K436" s="280"/>
      <c r="L436" s="313">
        <v>87</v>
      </c>
      <c r="M436" s="313">
        <v>87</v>
      </c>
      <c r="N436" s="313">
        <v>0.1</v>
      </c>
      <c r="O436" s="313">
        <v>0.1</v>
      </c>
      <c r="P436" s="313">
        <v>0.2</v>
      </c>
      <c r="Q436" s="328">
        <v>-1.6</v>
      </c>
      <c r="R436" s="328">
        <v>-0.7</v>
      </c>
      <c r="S436" s="328">
        <v>-1</v>
      </c>
      <c r="T436" s="328">
        <v>0.2</v>
      </c>
      <c r="U436" s="328"/>
      <c r="V436" s="328">
        <v>0.2</v>
      </c>
      <c r="W436" s="328"/>
      <c r="X436" s="328">
        <v>0.2</v>
      </c>
      <c r="Y436" s="328"/>
      <c r="AN436" s="316" t="e">
        <f>#REF!-#REF!</f>
        <v>#REF!</v>
      </c>
      <c r="AO436" s="323" t="e">
        <f>#REF!/#REF!-100%</f>
        <v>#REF!</v>
      </c>
      <c r="AP436" s="267"/>
      <c r="AQ436" s="267"/>
      <c r="AR436" s="267"/>
      <c r="AS436" s="267"/>
      <c r="AT436" s="267"/>
      <c r="AU436" s="267"/>
      <c r="AV436" s="267"/>
      <c r="AW436" s="267"/>
      <c r="AX436" s="267"/>
      <c r="AY436" s="267"/>
      <c r="AZ436" s="267"/>
      <c r="BA436" s="267"/>
    </row>
    <row r="437" spans="1:53" s="311" customFormat="1" ht="31.5" x14ac:dyDescent="0.2">
      <c r="A437" s="264" t="s">
        <v>1068</v>
      </c>
      <c r="B437" s="261" t="s">
        <v>896</v>
      </c>
      <c r="C437" s="282">
        <v>1</v>
      </c>
      <c r="D437" s="293"/>
      <c r="E437" s="293"/>
      <c r="F437" s="293"/>
      <c r="G437" s="294" t="s">
        <v>705</v>
      </c>
      <c r="H437" s="280"/>
      <c r="I437" s="280"/>
      <c r="J437" s="280"/>
      <c r="K437" s="280"/>
      <c r="L437" s="313">
        <f>L438+L439+L440+L441+L443+L451</f>
        <v>844.69999999999993</v>
      </c>
      <c r="M437" s="313">
        <f>M438+M439+M440+M441+M443+M451</f>
        <v>844.69999999999993</v>
      </c>
      <c r="N437" s="313">
        <f>N438+N439+N440+N441+N443+N451</f>
        <v>844.69999999999993</v>
      </c>
      <c r="O437" s="313">
        <f>O438+O439+O440+O441+O442+O443+O451</f>
        <v>945.91</v>
      </c>
      <c r="P437" s="313">
        <f>P438+P439+P440+P441+P442+P443+P451</f>
        <v>1014.12</v>
      </c>
      <c r="Q437" s="313">
        <f>Q438+Q439+Q440+Q441+Q442+Q443+Q451</f>
        <v>1116.4000000000001</v>
      </c>
      <c r="R437" s="313">
        <f t="shared" ref="R437:X437" si="95">R438+R439+R440+R441+R442+R443+R451</f>
        <v>1089.1599999999999</v>
      </c>
      <c r="S437" s="313">
        <f t="shared" si="95"/>
        <v>898.2</v>
      </c>
      <c r="T437" s="313">
        <f t="shared" si="95"/>
        <v>893.0100000000001</v>
      </c>
      <c r="U437" s="313"/>
      <c r="V437" s="313">
        <f t="shared" si="95"/>
        <v>908.65</v>
      </c>
      <c r="W437" s="313"/>
      <c r="X437" s="313">
        <f t="shared" si="95"/>
        <v>926.24</v>
      </c>
      <c r="Y437" s="313"/>
      <c r="AN437" s="316">
        <f>Q439-P439</f>
        <v>0.20000000000000107</v>
      </c>
      <c r="AO437" s="323">
        <f>Q439/P439-100%</f>
        <v>2.4968789013732895E-2</v>
      </c>
      <c r="AP437" s="267"/>
      <c r="AQ437" s="267"/>
      <c r="AR437" s="267"/>
      <c r="AS437" s="267"/>
      <c r="AT437" s="267"/>
      <c r="AU437" s="267"/>
      <c r="AV437" s="267"/>
      <c r="AW437" s="267"/>
      <c r="AX437" s="267"/>
      <c r="AY437" s="267"/>
      <c r="AZ437" s="267"/>
      <c r="BA437" s="267"/>
    </row>
    <row r="438" spans="1:53" s="311" customFormat="1" x14ac:dyDescent="0.2">
      <c r="A438" s="441" t="s">
        <v>503</v>
      </c>
      <c r="B438" s="261" t="s">
        <v>896</v>
      </c>
      <c r="C438" s="282">
        <v>1</v>
      </c>
      <c r="D438" s="293"/>
      <c r="E438" s="293"/>
      <c r="F438" s="293"/>
      <c r="G438" s="294" t="s">
        <v>705</v>
      </c>
      <c r="H438" s="280"/>
      <c r="I438" s="280"/>
      <c r="J438" s="280"/>
      <c r="K438" s="280"/>
      <c r="L438" s="313">
        <v>72.599999999999994</v>
      </c>
      <c r="M438" s="313">
        <v>72.599999999999994</v>
      </c>
      <c r="N438" s="313">
        <v>72.599999999999994</v>
      </c>
      <c r="O438" s="313">
        <v>74.97</v>
      </c>
      <c r="P438" s="313">
        <v>73.2</v>
      </c>
      <c r="Q438" s="328">
        <v>90.91</v>
      </c>
      <c r="R438" s="328">
        <v>75.45</v>
      </c>
      <c r="S438" s="328">
        <v>61.86</v>
      </c>
      <c r="T438" s="328">
        <v>60.46</v>
      </c>
      <c r="U438" s="328"/>
      <c r="V438" s="328">
        <v>63.48</v>
      </c>
      <c r="W438" s="328"/>
      <c r="X438" s="328">
        <v>64.45</v>
      </c>
      <c r="Y438" s="328"/>
      <c r="AN438" s="316">
        <f>Q447-P447</f>
        <v>-123.97000000000001</v>
      </c>
      <c r="AO438" s="323">
        <f>Q447/P447-100%</f>
        <v>-0.96715556249024814</v>
      </c>
      <c r="AP438" s="267"/>
      <c r="AQ438" s="267"/>
      <c r="AR438" s="267"/>
      <c r="AS438" s="267"/>
      <c r="AT438" s="267"/>
      <c r="AU438" s="267"/>
      <c r="AV438" s="267"/>
      <c r="AW438" s="267"/>
      <c r="AX438" s="267"/>
      <c r="AY438" s="267"/>
      <c r="AZ438" s="267"/>
      <c r="BA438" s="267"/>
    </row>
    <row r="439" spans="1:53" s="311" customFormat="1" ht="15.75" customHeight="1" x14ac:dyDescent="0.2">
      <c r="A439" s="441" t="s">
        <v>506</v>
      </c>
      <c r="B439" s="261" t="s">
        <v>896</v>
      </c>
      <c r="C439" s="282">
        <v>1</v>
      </c>
      <c r="D439" s="293"/>
      <c r="E439" s="293"/>
      <c r="F439" s="293"/>
      <c r="G439" s="294" t="s">
        <v>705</v>
      </c>
      <c r="H439" s="280"/>
      <c r="I439" s="280"/>
      <c r="J439" s="280"/>
      <c r="K439" s="280"/>
      <c r="L439" s="313">
        <v>6.3</v>
      </c>
      <c r="M439" s="313">
        <v>6.3</v>
      </c>
      <c r="N439" s="313">
        <v>6.3</v>
      </c>
      <c r="O439" s="313">
        <v>6.84</v>
      </c>
      <c r="P439" s="313">
        <v>8.01</v>
      </c>
      <c r="Q439" s="328">
        <v>8.2100000000000009</v>
      </c>
      <c r="R439" s="328">
        <v>8.43</v>
      </c>
      <c r="S439" s="328">
        <v>6.91</v>
      </c>
      <c r="T439" s="328">
        <v>5.96</v>
      </c>
      <c r="U439" s="328"/>
      <c r="V439" s="328">
        <v>6.09</v>
      </c>
      <c r="W439" s="328"/>
      <c r="X439" s="328">
        <v>6.18</v>
      </c>
      <c r="Y439" s="328"/>
      <c r="AN439" s="316" t="e">
        <f>#REF!-#REF!</f>
        <v>#REF!</v>
      </c>
      <c r="AO439" s="323" t="e">
        <f>#REF!/#REF!-100%</f>
        <v>#REF!</v>
      </c>
      <c r="AP439" s="267"/>
      <c r="AQ439" s="267"/>
      <c r="AR439" s="267"/>
      <c r="AS439" s="267"/>
      <c r="AT439" s="267"/>
      <c r="AU439" s="267"/>
      <c r="AV439" s="267"/>
      <c r="AW439" s="267"/>
      <c r="AX439" s="267"/>
      <c r="AY439" s="267"/>
      <c r="AZ439" s="267"/>
      <c r="BA439" s="267"/>
    </row>
    <row r="440" spans="1:53" s="311" customFormat="1" x14ac:dyDescent="0.2">
      <c r="A440" s="441" t="s">
        <v>508</v>
      </c>
      <c r="B440" s="261" t="s">
        <v>896</v>
      </c>
      <c r="C440" s="282">
        <v>1</v>
      </c>
      <c r="D440" s="293"/>
      <c r="E440" s="293"/>
      <c r="F440" s="293"/>
      <c r="G440" s="294" t="s">
        <v>705</v>
      </c>
      <c r="H440" s="280"/>
      <c r="I440" s="280"/>
      <c r="J440" s="280"/>
      <c r="K440" s="280"/>
      <c r="L440" s="313">
        <v>11.6</v>
      </c>
      <c r="M440" s="313">
        <v>11.6</v>
      </c>
      <c r="N440" s="313">
        <v>11.6</v>
      </c>
      <c r="O440" s="313">
        <v>10.44</v>
      </c>
      <c r="P440" s="313">
        <v>23.3</v>
      </c>
      <c r="Q440" s="328">
        <v>35.119999999999997</v>
      </c>
      <c r="R440" s="328">
        <v>24.36</v>
      </c>
      <c r="S440" s="328">
        <v>19.97</v>
      </c>
      <c r="T440" s="328">
        <v>11.81</v>
      </c>
      <c r="U440" s="328"/>
      <c r="V440" s="328">
        <v>3.51</v>
      </c>
      <c r="W440" s="328"/>
      <c r="X440" s="328">
        <v>3.57</v>
      </c>
      <c r="Y440" s="328"/>
      <c r="AN440" s="316" t="e">
        <f>#REF!-#REF!</f>
        <v>#REF!</v>
      </c>
      <c r="AO440" s="323" t="e">
        <f>#REF!/#REF!-100%</f>
        <v>#REF!</v>
      </c>
      <c r="AP440" s="267"/>
      <c r="AQ440" s="267"/>
      <c r="AR440" s="267"/>
      <c r="AS440" s="267"/>
      <c r="AT440" s="267"/>
      <c r="AU440" s="267"/>
      <c r="AV440" s="267"/>
      <c r="AW440" s="267"/>
      <c r="AX440" s="267"/>
      <c r="AY440" s="267"/>
      <c r="AZ440" s="267"/>
      <c r="BA440" s="267"/>
    </row>
    <row r="441" spans="1:53" s="311" customFormat="1" x14ac:dyDescent="0.2">
      <c r="A441" s="441" t="s">
        <v>509</v>
      </c>
      <c r="B441" s="261" t="s">
        <v>896</v>
      </c>
      <c r="C441" s="282">
        <v>1</v>
      </c>
      <c r="D441" s="293"/>
      <c r="E441" s="293"/>
      <c r="F441" s="293"/>
      <c r="G441" s="294" t="s">
        <v>705</v>
      </c>
      <c r="H441" s="280"/>
      <c r="I441" s="280"/>
      <c r="J441" s="280"/>
      <c r="K441" s="280"/>
      <c r="L441" s="313">
        <v>116.3</v>
      </c>
      <c r="M441" s="313">
        <v>116.3</v>
      </c>
      <c r="N441" s="313">
        <v>116.3</v>
      </c>
      <c r="O441" s="313">
        <v>99.32</v>
      </c>
      <c r="P441" s="313">
        <v>88.32</v>
      </c>
      <c r="Q441" s="328">
        <v>126.64</v>
      </c>
      <c r="R441" s="328">
        <v>107.94</v>
      </c>
      <c r="S441" s="328">
        <v>88.49</v>
      </c>
      <c r="T441" s="328">
        <v>59.51</v>
      </c>
      <c r="U441" s="328"/>
      <c r="V441" s="328">
        <v>53.62</v>
      </c>
      <c r="W441" s="328"/>
      <c r="X441" s="328">
        <v>54.44</v>
      </c>
      <c r="Y441" s="328"/>
      <c r="AN441" s="316" t="e">
        <f>#REF!-#REF!</f>
        <v>#REF!</v>
      </c>
      <c r="AO441" s="323" t="e">
        <f>#REF!/#REF!-100%</f>
        <v>#REF!</v>
      </c>
      <c r="AP441" s="267"/>
      <c r="AQ441" s="267"/>
      <c r="AR441" s="267"/>
      <c r="AS441" s="267"/>
      <c r="AT441" s="267"/>
      <c r="AU441" s="267"/>
      <c r="AV441" s="267"/>
      <c r="AW441" s="267"/>
      <c r="AX441" s="267"/>
      <c r="AY441" s="267"/>
      <c r="AZ441" s="267"/>
      <c r="BA441" s="267"/>
    </row>
    <row r="442" spans="1:53" s="311" customFormat="1" x14ac:dyDescent="0.2">
      <c r="A442" s="441" t="s">
        <v>510</v>
      </c>
      <c r="B442" s="261" t="s">
        <v>896</v>
      </c>
      <c r="C442" s="282">
        <v>1</v>
      </c>
      <c r="D442" s="293"/>
      <c r="E442" s="293"/>
      <c r="F442" s="293"/>
      <c r="G442" s="294" t="s">
        <v>705</v>
      </c>
      <c r="H442" s="280"/>
      <c r="I442" s="280"/>
      <c r="J442" s="280"/>
      <c r="K442" s="280"/>
      <c r="L442" s="313"/>
      <c r="M442" s="313">
        <v>3.8</v>
      </c>
      <c r="N442" s="313">
        <v>3.8</v>
      </c>
      <c r="O442" s="313">
        <v>4.04</v>
      </c>
      <c r="P442" s="313">
        <v>2.65</v>
      </c>
      <c r="Q442" s="328">
        <v>2.13</v>
      </c>
      <c r="R442" s="328">
        <v>2.4300000000000002</v>
      </c>
      <c r="S442" s="328">
        <v>1.99</v>
      </c>
      <c r="T442" s="328">
        <v>1.83</v>
      </c>
      <c r="U442" s="328"/>
      <c r="V442" s="328">
        <v>1.29</v>
      </c>
      <c r="W442" s="328"/>
      <c r="X442" s="328">
        <v>1.31</v>
      </c>
      <c r="Y442" s="328"/>
      <c r="AN442" s="316" t="e">
        <f>#REF!-#REF!</f>
        <v>#REF!</v>
      </c>
      <c r="AO442" s="323" t="e">
        <f>#REF!/#REF!-100%</f>
        <v>#REF!</v>
      </c>
      <c r="AP442" s="267"/>
      <c r="AQ442" s="267"/>
      <c r="AR442" s="267"/>
      <c r="AS442" s="267"/>
      <c r="AT442" s="267"/>
      <c r="AU442" s="267"/>
      <c r="AV442" s="267"/>
      <c r="AW442" s="267"/>
      <c r="AX442" s="267"/>
      <c r="AY442" s="267"/>
      <c r="AZ442" s="267"/>
      <c r="BA442" s="267"/>
    </row>
    <row r="443" spans="1:53" s="311" customFormat="1" x14ac:dyDescent="0.2">
      <c r="A443" s="260" t="s">
        <v>511</v>
      </c>
      <c r="B443" s="261" t="s">
        <v>896</v>
      </c>
      <c r="C443" s="282">
        <v>1</v>
      </c>
      <c r="D443" s="293"/>
      <c r="E443" s="293"/>
      <c r="F443" s="293"/>
      <c r="G443" s="294" t="s">
        <v>705</v>
      </c>
      <c r="H443" s="280"/>
      <c r="I443" s="280"/>
      <c r="J443" s="280"/>
      <c r="K443" s="280"/>
      <c r="L443" s="313">
        <v>637.9</v>
      </c>
      <c r="M443" s="313">
        <v>637.9</v>
      </c>
      <c r="N443" s="313">
        <v>637.9</v>
      </c>
      <c r="O443" s="313">
        <v>749.87</v>
      </c>
      <c r="P443" s="313">
        <v>815.91</v>
      </c>
      <c r="Q443" s="328">
        <v>849.44</v>
      </c>
      <c r="R443" s="328">
        <v>862.68</v>
      </c>
      <c r="S443" s="328">
        <v>707.22</v>
      </c>
      <c r="T443" s="328">
        <v>734.7</v>
      </c>
      <c r="U443" s="328"/>
      <c r="V443" s="328">
        <v>751.6</v>
      </c>
      <c r="W443" s="328"/>
      <c r="X443" s="328">
        <v>763.1</v>
      </c>
      <c r="Y443" s="328"/>
      <c r="AN443" s="316">
        <f>Q451-P451</f>
        <v>1.2200000000000002</v>
      </c>
      <c r="AO443" s="323">
        <f>Q451/P451-100%</f>
        <v>0.44688644688644685</v>
      </c>
      <c r="AP443" s="267"/>
      <c r="AQ443" s="267"/>
      <c r="AR443" s="267"/>
      <c r="AS443" s="267"/>
      <c r="AT443" s="267"/>
      <c r="AU443" s="267"/>
      <c r="AV443" s="267"/>
      <c r="AW443" s="267"/>
      <c r="AX443" s="267"/>
      <c r="AY443" s="267"/>
      <c r="AZ443" s="267"/>
      <c r="BA443" s="267"/>
    </row>
    <row r="444" spans="1:53" s="403" customFormat="1" x14ac:dyDescent="0.2">
      <c r="A444" s="404" t="s">
        <v>294</v>
      </c>
      <c r="B444" s="261"/>
      <c r="C444" s="295">
        <v>1</v>
      </c>
      <c r="D444" s="296"/>
      <c r="E444" s="296"/>
      <c r="F444" s="296"/>
      <c r="G444" s="297" t="s">
        <v>705</v>
      </c>
      <c r="H444" s="298"/>
      <c r="I444" s="298"/>
      <c r="J444" s="298"/>
      <c r="K444" s="298"/>
      <c r="L444" s="313"/>
      <c r="M444" s="313"/>
      <c r="N444" s="313"/>
      <c r="O444" s="313"/>
      <c r="P444" s="313"/>
      <c r="Q444" s="313"/>
      <c r="R444" s="313"/>
      <c r="S444" s="313"/>
      <c r="T444" s="313"/>
      <c r="U444" s="313"/>
      <c r="V444" s="313"/>
      <c r="W444" s="313"/>
      <c r="X444" s="313"/>
      <c r="Y444" s="313"/>
      <c r="Z444" s="311"/>
      <c r="AA444" s="405" t="e">
        <f>R438+#REF!+R439+R440+R441+R442+R443+R451</f>
        <v>#REF!</v>
      </c>
      <c r="AB444" s="405" t="e">
        <f>S438+#REF!+S439+S440+S441+S442+S443+S451</f>
        <v>#REF!</v>
      </c>
      <c r="AC444" s="405" t="e">
        <f>T438+#REF!+T439+T440+T441+T442+T443+T451</f>
        <v>#REF!</v>
      </c>
      <c r="AD444" s="405" t="e">
        <f>V438+#REF!+V439+V440+V441+V442+V443+V451</f>
        <v>#REF!</v>
      </c>
      <c r="AE444" s="405" t="e">
        <f>X438+#REF!+X439+X440+X441+X442+X443+X451</f>
        <v>#REF!</v>
      </c>
      <c r="AF444" s="405" t="s">
        <v>264</v>
      </c>
      <c r="AN444" s="316" t="e">
        <f>#REF!-#REF!</f>
        <v>#REF!</v>
      </c>
      <c r="AO444" s="323" t="e">
        <f>#REF!/#REF!-100%</f>
        <v>#REF!</v>
      </c>
      <c r="AP444" s="266"/>
      <c r="AQ444" s="266"/>
      <c r="AR444" s="266"/>
      <c r="AS444" s="266"/>
      <c r="AT444" s="266"/>
      <c r="AU444" s="266"/>
      <c r="AV444" s="266"/>
      <c r="AW444" s="266"/>
      <c r="AX444" s="266"/>
      <c r="AY444" s="266"/>
      <c r="AZ444" s="266"/>
      <c r="BA444" s="266"/>
    </row>
    <row r="445" spans="1:53" s="311" customFormat="1" x14ac:dyDescent="0.2">
      <c r="A445" s="440" t="s">
        <v>161</v>
      </c>
      <c r="B445" s="261" t="s">
        <v>896</v>
      </c>
      <c r="C445" s="282">
        <v>1</v>
      </c>
      <c r="D445" s="293"/>
      <c r="E445" s="293"/>
      <c r="F445" s="293"/>
      <c r="G445" s="294" t="s">
        <v>705</v>
      </c>
      <c r="H445" s="280"/>
      <c r="I445" s="280"/>
      <c r="J445" s="280"/>
      <c r="K445" s="280"/>
      <c r="L445" s="313">
        <v>422</v>
      </c>
      <c r="M445" s="313">
        <v>422</v>
      </c>
      <c r="N445" s="313">
        <v>422</v>
      </c>
      <c r="O445" s="313">
        <v>491.86</v>
      </c>
      <c r="P445" s="313">
        <v>592.30999999999995</v>
      </c>
      <c r="Q445" s="328">
        <v>737.83</v>
      </c>
      <c r="R445" s="328">
        <v>760.28</v>
      </c>
      <c r="S445" s="328">
        <v>623.28</v>
      </c>
      <c r="T445" s="328">
        <v>657.34</v>
      </c>
      <c r="U445" s="328"/>
      <c r="V445" s="328">
        <v>670.35</v>
      </c>
      <c r="W445" s="328"/>
      <c r="X445" s="328">
        <v>680.62</v>
      </c>
      <c r="Y445" s="328"/>
      <c r="AA445" s="406" t="e">
        <f>AA420-AA444</f>
        <v>#REF!</v>
      </c>
      <c r="AB445" s="406" t="e">
        <f>AB420-AB444</f>
        <v>#REF!</v>
      </c>
      <c r="AC445" s="406" t="e">
        <f>AC420-AC444</f>
        <v>#REF!</v>
      </c>
      <c r="AD445" s="406" t="e">
        <f>AD420-AD444</f>
        <v>#REF!</v>
      </c>
      <c r="AE445" s="406" t="e">
        <f>AE420-AE444</f>
        <v>#REF!</v>
      </c>
      <c r="AF445" s="405" t="s">
        <v>264</v>
      </c>
      <c r="AN445" s="316">
        <f>Q452-P452</f>
        <v>-372.08000000000027</v>
      </c>
      <c r="AO445" s="323">
        <f>Q452/P452-100%</f>
        <v>-0.49368432225878378</v>
      </c>
      <c r="AP445" s="267"/>
      <c r="AQ445" s="267"/>
      <c r="AR445" s="267"/>
      <c r="AS445" s="267"/>
      <c r="AT445" s="267"/>
      <c r="AU445" s="267"/>
      <c r="AV445" s="267"/>
      <c r="AW445" s="267"/>
      <c r="AX445" s="267"/>
      <c r="AY445" s="267"/>
      <c r="AZ445" s="267"/>
      <c r="BA445" s="267"/>
    </row>
    <row r="446" spans="1:53" ht="21" x14ac:dyDescent="0.2">
      <c r="A446" s="440" t="s">
        <v>571</v>
      </c>
      <c r="B446" s="261" t="s">
        <v>896</v>
      </c>
      <c r="C446" s="282"/>
      <c r="D446" s="293"/>
      <c r="E446" s="293"/>
      <c r="F446" s="293"/>
      <c r="G446" s="294"/>
      <c r="H446" s="280"/>
      <c r="I446" s="280"/>
      <c r="J446" s="280"/>
      <c r="K446" s="280"/>
      <c r="L446" s="313">
        <v>48.4</v>
      </c>
      <c r="M446" s="313">
        <v>48.4</v>
      </c>
      <c r="N446" s="313">
        <v>48.4</v>
      </c>
      <c r="O446" s="313">
        <v>50.11</v>
      </c>
      <c r="P446" s="313">
        <v>48.13</v>
      </c>
      <c r="Q446" s="328">
        <v>60.59</v>
      </c>
      <c r="R446" s="328">
        <v>60.64</v>
      </c>
      <c r="S446" s="328">
        <v>49.71</v>
      </c>
      <c r="T446" s="328">
        <v>42.35</v>
      </c>
      <c r="U446" s="328"/>
      <c r="V446" s="328">
        <v>44.41</v>
      </c>
      <c r="W446" s="328"/>
      <c r="X446" s="328">
        <v>45.09</v>
      </c>
      <c r="Y446" s="328"/>
      <c r="Z446" s="311"/>
      <c r="AN446" s="316">
        <f>Q454-P454</f>
        <v>0</v>
      </c>
      <c r="AO446" s="323" t="e">
        <f>Q454/P454-100%</f>
        <v>#DIV/0!</v>
      </c>
    </row>
    <row r="447" spans="1:53" s="312" customFormat="1" x14ac:dyDescent="0.2">
      <c r="A447" s="440" t="s">
        <v>1070</v>
      </c>
      <c r="B447" s="261" t="s">
        <v>896</v>
      </c>
      <c r="C447" s="295">
        <v>1</v>
      </c>
      <c r="D447" s="296"/>
      <c r="E447" s="296"/>
      <c r="F447" s="296"/>
      <c r="G447" s="297" t="s">
        <v>705</v>
      </c>
      <c r="H447" s="298"/>
      <c r="I447" s="298"/>
      <c r="J447" s="298"/>
      <c r="K447" s="298"/>
      <c r="L447" s="313">
        <v>139.1</v>
      </c>
      <c r="M447" s="313">
        <v>139.1</v>
      </c>
      <c r="N447" s="313">
        <v>139.1</v>
      </c>
      <c r="O447" s="313">
        <v>171.21</v>
      </c>
      <c r="P447" s="313">
        <v>128.18</v>
      </c>
      <c r="Q447" s="328">
        <v>4.21</v>
      </c>
      <c r="R447" s="328">
        <v>6.87</v>
      </c>
      <c r="S447" s="328">
        <v>5.63</v>
      </c>
      <c r="T447" s="328">
        <v>3.45</v>
      </c>
      <c r="U447" s="328"/>
      <c r="V447" s="328">
        <v>4.33</v>
      </c>
      <c r="W447" s="328"/>
      <c r="X447" s="328">
        <v>4.3899999999999997</v>
      </c>
      <c r="Y447" s="328"/>
      <c r="Z447" s="311"/>
      <c r="AN447" s="316">
        <f>Q455-P455</f>
        <v>923.86226728399924</v>
      </c>
      <c r="AO447" s="323">
        <f>Q455/P455-100%</f>
        <v>8.3740011381951529E-2</v>
      </c>
      <c r="AP447" s="266"/>
      <c r="AQ447" s="266"/>
      <c r="AR447" s="266"/>
      <c r="AS447" s="266"/>
      <c r="AT447" s="266"/>
      <c r="AU447" s="266"/>
      <c r="AV447" s="266"/>
      <c r="AW447" s="266"/>
      <c r="AX447" s="266"/>
      <c r="AY447" s="266"/>
      <c r="AZ447" s="266"/>
      <c r="BA447" s="266"/>
    </row>
    <row r="448" spans="1:53" x14ac:dyDescent="0.2">
      <c r="A448" s="440" t="s">
        <v>162</v>
      </c>
      <c r="B448" s="261" t="s">
        <v>896</v>
      </c>
      <c r="C448" s="282"/>
      <c r="D448" s="293"/>
      <c r="E448" s="293"/>
      <c r="F448" s="293"/>
      <c r="G448" s="294"/>
      <c r="H448" s="280"/>
      <c r="I448" s="280"/>
      <c r="J448" s="280"/>
      <c r="K448" s="280"/>
      <c r="L448" s="313">
        <v>28.4</v>
      </c>
      <c r="M448" s="313">
        <v>28.4</v>
      </c>
      <c r="N448" s="313">
        <v>28.4</v>
      </c>
      <c r="O448" s="313">
        <v>36.69</v>
      </c>
      <c r="P448" s="313">
        <v>47.28</v>
      </c>
      <c r="Q448" s="313">
        <v>46.8</v>
      </c>
      <c r="R448" s="313">
        <v>34.9</v>
      </c>
      <c r="S448" s="313">
        <v>28.6</v>
      </c>
      <c r="T448" s="313">
        <v>31.6</v>
      </c>
      <c r="U448" s="313"/>
      <c r="V448" s="313">
        <v>32.5</v>
      </c>
      <c r="W448" s="313"/>
      <c r="X448" s="313">
        <v>33</v>
      </c>
      <c r="Y448" s="313"/>
      <c r="Z448" s="311"/>
      <c r="AN448" s="316">
        <f>Q456-P456</f>
        <v>0</v>
      </c>
      <c r="AO448" s="323" t="e">
        <f>Q456/P456-100%</f>
        <v>#DIV/0!</v>
      </c>
    </row>
    <row r="449" spans="1:41" hidden="1" x14ac:dyDescent="0.2">
      <c r="A449" s="440" t="s">
        <v>1069</v>
      </c>
      <c r="B449" s="261" t="s">
        <v>896</v>
      </c>
      <c r="C449" s="282"/>
      <c r="D449" s="293"/>
      <c r="E449" s="293"/>
      <c r="F449" s="293"/>
      <c r="G449" s="294"/>
      <c r="H449" s="280"/>
      <c r="I449" s="280"/>
      <c r="J449" s="280"/>
      <c r="K449" s="280"/>
      <c r="L449" s="313"/>
      <c r="M449" s="313"/>
      <c r="N449" s="313"/>
      <c r="O449" s="313"/>
      <c r="P449" s="313"/>
      <c r="Q449" s="313"/>
      <c r="R449" s="313"/>
      <c r="S449" s="313"/>
      <c r="T449" s="313"/>
      <c r="U449" s="313"/>
      <c r="V449" s="313"/>
      <c r="W449" s="313"/>
      <c r="X449" s="313"/>
      <c r="Y449" s="313"/>
      <c r="Z449" s="311"/>
      <c r="AN449" s="316"/>
      <c r="AO449" s="323"/>
    </row>
    <row r="450" spans="1:41" hidden="1" x14ac:dyDescent="0.2">
      <c r="A450" s="440" t="s">
        <v>1071</v>
      </c>
      <c r="B450" s="261" t="s">
        <v>896</v>
      </c>
      <c r="C450" s="282"/>
      <c r="D450" s="293"/>
      <c r="E450" s="293"/>
      <c r="F450" s="293"/>
      <c r="G450" s="294"/>
      <c r="H450" s="280"/>
      <c r="I450" s="280"/>
      <c r="J450" s="280"/>
      <c r="K450" s="280"/>
      <c r="L450" s="313"/>
      <c r="M450" s="313"/>
      <c r="N450" s="313"/>
      <c r="O450" s="313"/>
      <c r="P450" s="313"/>
      <c r="Q450" s="313"/>
      <c r="R450" s="313"/>
      <c r="S450" s="313"/>
      <c r="T450" s="313"/>
      <c r="U450" s="313"/>
      <c r="V450" s="313"/>
      <c r="W450" s="313"/>
      <c r="X450" s="313"/>
      <c r="Y450" s="313"/>
      <c r="Z450" s="311"/>
      <c r="AN450" s="316"/>
      <c r="AO450" s="323"/>
    </row>
    <row r="451" spans="1:41" x14ac:dyDescent="0.2">
      <c r="A451" s="260" t="s">
        <v>809</v>
      </c>
      <c r="B451" s="261" t="s">
        <v>896</v>
      </c>
      <c r="C451" s="282">
        <v>1</v>
      </c>
      <c r="D451" s="293"/>
      <c r="E451" s="293"/>
      <c r="F451" s="293"/>
      <c r="G451" s="294" t="s">
        <v>705</v>
      </c>
      <c r="H451" s="280"/>
      <c r="I451" s="280"/>
      <c r="J451" s="280"/>
      <c r="K451" s="280"/>
      <c r="L451" s="313"/>
      <c r="M451" s="313"/>
      <c r="N451" s="313"/>
      <c r="O451" s="313">
        <v>0.43</v>
      </c>
      <c r="P451" s="313">
        <v>2.73</v>
      </c>
      <c r="Q451" s="328">
        <v>3.95</v>
      </c>
      <c r="R451" s="328">
        <v>7.87</v>
      </c>
      <c r="S451" s="328">
        <v>11.76</v>
      </c>
      <c r="T451" s="328">
        <v>18.739999999999998</v>
      </c>
      <c r="U451" s="328"/>
      <c r="V451" s="328">
        <v>29.06</v>
      </c>
      <c r="W451" s="328"/>
      <c r="X451" s="328">
        <v>33.19</v>
      </c>
      <c r="Y451" s="328"/>
      <c r="Z451" s="311"/>
      <c r="AN451" s="316">
        <f>Q460-P460</f>
        <v>5.3760000000000003</v>
      </c>
      <c r="AO451" s="323">
        <f>Q460/P460-100%</f>
        <v>1.5609756097560976</v>
      </c>
    </row>
    <row r="452" spans="1:41" ht="31.5" x14ac:dyDescent="0.2">
      <c r="A452" s="441" t="s">
        <v>1072</v>
      </c>
      <c r="B452" s="261" t="s">
        <v>896</v>
      </c>
      <c r="C452" s="282">
        <v>1</v>
      </c>
      <c r="D452" s="293"/>
      <c r="E452" s="293"/>
      <c r="F452" s="293"/>
      <c r="G452" s="294" t="s">
        <v>704</v>
      </c>
      <c r="H452" s="280"/>
      <c r="I452" s="280"/>
      <c r="J452" s="280"/>
      <c r="K452" s="280"/>
      <c r="L452" s="313">
        <f>L414-L437</f>
        <v>-334.02999999999992</v>
      </c>
      <c r="M452" s="313">
        <f t="shared" ref="M452:Y452" si="96">M414-M437</f>
        <v>-172.75999999999988</v>
      </c>
      <c r="N452" s="313">
        <f t="shared" si="96"/>
        <v>333.10000000000025</v>
      </c>
      <c r="O452" s="313">
        <f t="shared" si="96"/>
        <v>403.82000000000005</v>
      </c>
      <c r="P452" s="313">
        <f t="shared" si="96"/>
        <v>753.68000000000018</v>
      </c>
      <c r="Q452" s="313">
        <f t="shared" si="96"/>
        <v>381.59999999999991</v>
      </c>
      <c r="R452" s="313">
        <f t="shared" si="96"/>
        <v>688.54</v>
      </c>
      <c r="S452" s="313">
        <f t="shared" si="96"/>
        <v>530</v>
      </c>
      <c r="T452" s="313">
        <f t="shared" si="96"/>
        <v>512.49000000000012</v>
      </c>
      <c r="U452" s="313">
        <f t="shared" si="96"/>
        <v>0</v>
      </c>
      <c r="V452" s="313">
        <f t="shared" si="96"/>
        <v>510.35000000000025</v>
      </c>
      <c r="W452" s="313">
        <f t="shared" si="96"/>
        <v>0</v>
      </c>
      <c r="X452" s="313">
        <f t="shared" si="96"/>
        <v>508.76</v>
      </c>
      <c r="Y452" s="313">
        <f t="shared" si="96"/>
        <v>0</v>
      </c>
      <c r="Z452" s="406" t="e">
        <f>#REF!-#REF!</f>
        <v>#REF!</v>
      </c>
      <c r="AN452" s="316">
        <f>Q467-P467</f>
        <v>1.5732328054838263E-2</v>
      </c>
      <c r="AO452" s="323">
        <f>Q467/P467-100%</f>
        <v>1.4518807127128497E-4</v>
      </c>
    </row>
    <row r="453" spans="1:41" ht="42" x14ac:dyDescent="0.2">
      <c r="A453" s="426" t="s">
        <v>1073</v>
      </c>
      <c r="B453" s="261" t="s">
        <v>896</v>
      </c>
      <c r="C453" s="282"/>
      <c r="D453" s="293"/>
      <c r="E453" s="293"/>
      <c r="F453" s="293"/>
      <c r="G453" s="294"/>
      <c r="H453" s="280"/>
      <c r="I453" s="280"/>
      <c r="J453" s="280"/>
      <c r="K453" s="280"/>
      <c r="L453" s="313"/>
      <c r="M453" s="313"/>
      <c r="N453" s="313"/>
      <c r="O453" s="313"/>
      <c r="P453" s="313"/>
      <c r="Q453" s="313"/>
      <c r="R453" s="313"/>
      <c r="S453" s="313"/>
      <c r="T453" s="313"/>
      <c r="U453" s="313"/>
      <c r="V453" s="313"/>
      <c r="W453" s="313"/>
      <c r="X453" s="313"/>
      <c r="Y453" s="313"/>
      <c r="Z453" s="406"/>
      <c r="AN453" s="316"/>
      <c r="AO453" s="323"/>
    </row>
    <row r="454" spans="1:41" ht="28.5" x14ac:dyDescent="0.2">
      <c r="A454" s="292" t="s">
        <v>167</v>
      </c>
      <c r="B454" s="261"/>
      <c r="C454" s="282">
        <v>1</v>
      </c>
      <c r="D454" s="293"/>
      <c r="E454" s="293"/>
      <c r="F454" s="293"/>
      <c r="G454" s="294" t="s">
        <v>705</v>
      </c>
      <c r="H454" s="280"/>
      <c r="I454" s="280"/>
      <c r="J454" s="280"/>
      <c r="K454" s="280"/>
      <c r="L454" s="281"/>
      <c r="M454" s="281"/>
      <c r="N454" s="281"/>
      <c r="O454" s="281"/>
      <c r="P454" s="313"/>
      <c r="Q454" s="313"/>
      <c r="R454" s="313"/>
      <c r="S454" s="313"/>
      <c r="T454" s="313"/>
      <c r="U454" s="313"/>
      <c r="V454" s="313"/>
      <c r="W454" s="313"/>
      <c r="X454" s="313"/>
      <c r="Y454" s="313"/>
      <c r="AN454" s="316">
        <f>Q468-P468</f>
        <v>1293.7706922728776</v>
      </c>
      <c r="AO454" s="323">
        <f>Q468/P468-100%</f>
        <v>8.7768784658464272E-2</v>
      </c>
    </row>
    <row r="455" spans="1:41" s="266" customFormat="1" x14ac:dyDescent="0.2">
      <c r="A455" s="264" t="s">
        <v>197</v>
      </c>
      <c r="B455" s="265" t="s">
        <v>896</v>
      </c>
      <c r="C455" s="295">
        <v>1</v>
      </c>
      <c r="D455" s="296"/>
      <c r="E455" s="296"/>
      <c r="F455" s="296"/>
      <c r="G455" s="297" t="s">
        <v>705</v>
      </c>
      <c r="H455" s="298"/>
      <c r="I455" s="298"/>
      <c r="J455" s="298"/>
      <c r="K455" s="298"/>
      <c r="L455" s="322">
        <f t="shared" ref="L455:Y455" si="97">L457+L458+L461+L460+L466</f>
        <v>7427.6958138503578</v>
      </c>
      <c r="M455" s="322">
        <f t="shared" si="97"/>
        <v>7297.118265865638</v>
      </c>
      <c r="N455" s="322">
        <f t="shared" si="97"/>
        <v>8435.1275288652159</v>
      </c>
      <c r="O455" s="322">
        <f t="shared" si="97"/>
        <v>10181.509161426935</v>
      </c>
      <c r="P455" s="322">
        <f t="shared" si="97"/>
        <v>11032.507066068063</v>
      </c>
      <c r="Q455" s="322">
        <f t="shared" si="97"/>
        <v>11956.369333352062</v>
      </c>
      <c r="R455" s="322">
        <f t="shared" si="97"/>
        <v>12840.820658891318</v>
      </c>
      <c r="S455" s="322">
        <f t="shared" si="97"/>
        <v>13419.448509153382</v>
      </c>
      <c r="T455" s="322">
        <f t="shared" si="97"/>
        <v>14064.905984723699</v>
      </c>
      <c r="U455" s="322">
        <f t="shared" si="97"/>
        <v>14288.981044570934</v>
      </c>
      <c r="V455" s="322">
        <f t="shared" si="97"/>
        <v>14770.200447944908</v>
      </c>
      <c r="W455" s="322">
        <f t="shared" si="97"/>
        <v>15253.490452424354</v>
      </c>
      <c r="X455" s="322">
        <f t="shared" si="97"/>
        <v>15523.133264428412</v>
      </c>
      <c r="Y455" s="322">
        <f t="shared" si="97"/>
        <v>16327.682597072697</v>
      </c>
      <c r="Z455" s="312"/>
      <c r="AN455" s="316">
        <f>Q473-P473</f>
        <v>825.18464754908746</v>
      </c>
      <c r="AO455" s="323">
        <f>Q473/P473-100%</f>
        <v>7.8934610576279374E-2</v>
      </c>
    </row>
    <row r="456" spans="1:41" x14ac:dyDescent="0.2">
      <c r="A456" s="260" t="s">
        <v>446</v>
      </c>
      <c r="B456" s="261"/>
      <c r="C456" s="282"/>
      <c r="D456" s="293"/>
      <c r="E456" s="293"/>
      <c r="F456" s="293"/>
      <c r="G456" s="294"/>
      <c r="H456" s="280"/>
      <c r="I456" s="280"/>
      <c r="J456" s="280"/>
      <c r="K456" s="280"/>
      <c r="L456" s="281"/>
      <c r="M456" s="313"/>
      <c r="N456" s="313"/>
      <c r="O456" s="313"/>
      <c r="P456" s="313"/>
      <c r="Q456" s="313"/>
      <c r="R456" s="313"/>
      <c r="S456" s="313"/>
      <c r="T456" s="313"/>
      <c r="U456" s="313"/>
      <c r="V456" s="313"/>
      <c r="W456" s="313"/>
      <c r="X456" s="313"/>
      <c r="Y456" s="313"/>
      <c r="AN456" s="316">
        <f>Q474-P474</f>
        <v>0</v>
      </c>
      <c r="AO456" s="323" t="e">
        <f>Q474/P474-100%</f>
        <v>#DIV/0!</v>
      </c>
    </row>
    <row r="457" spans="1:41" ht="21" x14ac:dyDescent="0.2">
      <c r="A457" s="260" t="s">
        <v>168</v>
      </c>
      <c r="B457" s="261" t="s">
        <v>896</v>
      </c>
      <c r="C457" s="282">
        <v>1</v>
      </c>
      <c r="D457" s="293"/>
      <c r="E457" s="293"/>
      <c r="F457" s="293"/>
      <c r="G457" s="294" t="s">
        <v>705</v>
      </c>
      <c r="H457" s="280"/>
      <c r="I457" s="280"/>
      <c r="J457" s="280"/>
      <c r="K457" s="280"/>
      <c r="L457" s="313">
        <f t="shared" ref="L457:T457" si="98">(L214+L217+L220)*0.1</f>
        <v>413.12</v>
      </c>
      <c r="M457" s="313">
        <f t="shared" si="98"/>
        <v>443.96</v>
      </c>
      <c r="N457" s="313">
        <f t="shared" si="98"/>
        <v>486.28999999999996</v>
      </c>
      <c r="O457" s="313">
        <f t="shared" si="98"/>
        <v>528.23957801395272</v>
      </c>
      <c r="P457" s="313">
        <f t="shared" si="98"/>
        <v>565.34363838755905</v>
      </c>
      <c r="Q457" s="313">
        <f t="shared" si="98"/>
        <v>628.99921868445199</v>
      </c>
      <c r="R457" s="313">
        <f t="shared" si="98"/>
        <v>711.9993149728698</v>
      </c>
      <c r="S457" s="313">
        <f t="shared" si="98"/>
        <v>754.36681871138137</v>
      </c>
      <c r="T457" s="313">
        <f t="shared" si="98"/>
        <v>810.23656565735746</v>
      </c>
      <c r="U457" s="313">
        <f>T457*1.01</f>
        <v>818.33893131393108</v>
      </c>
      <c r="V457" s="313">
        <f>(V214+V217+V220)*0.1</f>
        <v>870.97225755358295</v>
      </c>
      <c r="W457" s="313">
        <f t="shared" ref="W457:W466" si="99">V457*1.01</f>
        <v>879.68198012911876</v>
      </c>
      <c r="X457" s="313">
        <f>(X214+X217+X220)*0.1</f>
        <v>921.22803654671907</v>
      </c>
      <c r="Y457" s="313">
        <f t="shared" ref="Y457:Y466" si="100">X457*1.01</f>
        <v>930.44031691218629</v>
      </c>
      <c r="AN457" s="316">
        <f>Q475-P475</f>
        <v>536.33777644446764</v>
      </c>
      <c r="AO457" s="323">
        <f>Q475/P475-100%</f>
        <v>0.1073880636581257</v>
      </c>
    </row>
    <row r="458" spans="1:41" x14ac:dyDescent="0.2">
      <c r="A458" s="260" t="s">
        <v>1074</v>
      </c>
      <c r="B458" s="261" t="s">
        <v>896</v>
      </c>
      <c r="C458" s="282">
        <v>1</v>
      </c>
      <c r="D458" s="293"/>
      <c r="E458" s="293"/>
      <c r="F458" s="293"/>
      <c r="G458" s="294" t="s">
        <v>705</v>
      </c>
      <c r="H458" s="280"/>
      <c r="I458" s="280"/>
      <c r="J458" s="280"/>
      <c r="K458" s="280"/>
      <c r="L458" s="328">
        <v>4701.2704223283581</v>
      </c>
      <c r="M458" s="328">
        <v>4878.0970760656382</v>
      </c>
      <c r="N458" s="328">
        <v>5601.3054135652164</v>
      </c>
      <c r="O458" s="328">
        <v>6558.5007666729816</v>
      </c>
      <c r="P458" s="328">
        <v>6976.259900680504</v>
      </c>
      <c r="Q458" s="328">
        <v>7491.2209695866104</v>
      </c>
      <c r="R458" s="328">
        <v>7993.8428409668468</v>
      </c>
      <c r="S458" s="542">
        <v>8085.9</v>
      </c>
      <c r="T458" s="542">
        <v>8187.4</v>
      </c>
      <c r="U458" s="542">
        <v>8352.7000000000007</v>
      </c>
      <c r="V458" s="542">
        <v>8351.2000000000007</v>
      </c>
      <c r="W458" s="542">
        <v>8770.2999999999993</v>
      </c>
      <c r="X458" s="542">
        <v>8518.2000000000007</v>
      </c>
      <c r="Y458" s="542">
        <v>9252.7000000000007</v>
      </c>
      <c r="Z458" s="421" t="s">
        <v>951</v>
      </c>
      <c r="AN458" s="316">
        <f>Q476-P476</f>
        <v>400.87210609784643</v>
      </c>
      <c r="AO458" s="323">
        <f>Q476/P476-100%</f>
        <v>0.15206500592936179</v>
      </c>
    </row>
    <row r="459" spans="1:41" ht="31.5" x14ac:dyDescent="0.2">
      <c r="A459" s="260" t="s">
        <v>1075</v>
      </c>
      <c r="B459" s="261"/>
      <c r="C459" s="282"/>
      <c r="D459" s="293"/>
      <c r="E459" s="293"/>
      <c r="F459" s="293"/>
      <c r="G459" s="294"/>
      <c r="H459" s="280"/>
      <c r="I459" s="280"/>
      <c r="J459" s="280"/>
      <c r="K459" s="280"/>
      <c r="L459" s="328"/>
      <c r="M459" s="328"/>
      <c r="N459" s="328"/>
      <c r="O459" s="328"/>
      <c r="P459" s="328"/>
      <c r="Q459" s="328"/>
      <c r="R459" s="328"/>
      <c r="S459" s="542"/>
      <c r="T459" s="542"/>
      <c r="U459" s="542"/>
      <c r="V459" s="542"/>
      <c r="W459" s="542"/>
      <c r="X459" s="542"/>
      <c r="Y459" s="542"/>
      <c r="Z459" s="421"/>
      <c r="AN459" s="316"/>
      <c r="AO459" s="323"/>
    </row>
    <row r="460" spans="1:41" x14ac:dyDescent="0.2">
      <c r="A460" s="260" t="s">
        <v>173</v>
      </c>
      <c r="B460" s="261" t="s">
        <v>896</v>
      </c>
      <c r="C460" s="282">
        <v>1</v>
      </c>
      <c r="D460" s="293"/>
      <c r="E460" s="293"/>
      <c r="F460" s="293"/>
      <c r="G460" s="294" t="s">
        <v>704</v>
      </c>
      <c r="H460" s="280"/>
      <c r="I460" s="280"/>
      <c r="J460" s="280"/>
      <c r="K460" s="280"/>
      <c r="L460" s="313"/>
      <c r="M460" s="313"/>
      <c r="N460" s="313"/>
      <c r="O460" s="313"/>
      <c r="P460" s="313">
        <f>41*7000*12/1000000</f>
        <v>3.444</v>
      </c>
      <c r="Q460" s="313">
        <f>105*7000*12/1000000</f>
        <v>8.82</v>
      </c>
      <c r="R460" s="313">
        <f>105*7000*12/1000000*R213/100</f>
        <v>9.3844800000000017</v>
      </c>
      <c r="S460" s="313">
        <f>105*7000*12/1000000*S213/100</f>
        <v>10.0107</v>
      </c>
      <c r="T460" s="313">
        <f>105*7000*12/1000000*T213/100</f>
        <v>9.4197600000000001</v>
      </c>
      <c r="U460" s="313">
        <f>T460*1.01</f>
        <v>9.5139575999999995</v>
      </c>
      <c r="V460" s="313">
        <f>105*7000*12/1000000*V213/100</f>
        <v>9.3756599999999999</v>
      </c>
      <c r="W460" s="313">
        <f>V460*1.01</f>
        <v>9.4694166000000006</v>
      </c>
      <c r="X460" s="313">
        <f>105*7000*12/1000000*X213/100</f>
        <v>9.3050999999999995</v>
      </c>
      <c r="Y460" s="313">
        <f>X460*1.01</f>
        <v>9.3981510000000004</v>
      </c>
      <c r="AN460" s="316">
        <f>Q470-P470</f>
        <v>-1.036695326004704</v>
      </c>
      <c r="AO460" s="323">
        <f>Q470/P470-100%</f>
        <v>-9.3678183777254898E-3</v>
      </c>
    </row>
    <row r="461" spans="1:41" x14ac:dyDescent="0.2">
      <c r="A461" s="260" t="s">
        <v>1076</v>
      </c>
      <c r="B461" s="261" t="s">
        <v>896</v>
      </c>
      <c r="C461" s="282">
        <v>1</v>
      </c>
      <c r="D461" s="293"/>
      <c r="E461" s="293"/>
      <c r="F461" s="293"/>
      <c r="G461" s="294" t="s">
        <v>705</v>
      </c>
      <c r="H461" s="280"/>
      <c r="I461" s="280"/>
      <c r="J461" s="280"/>
      <c r="K461" s="280"/>
      <c r="L461" s="313">
        <f t="shared" ref="L461:X461" si="101">L463+L464+L465</f>
        <v>1825.1881612500001</v>
      </c>
      <c r="M461" s="313">
        <f t="shared" si="101"/>
        <v>1476.9823833999999</v>
      </c>
      <c r="N461" s="313">
        <f t="shared" si="101"/>
        <v>1839.2884353000002</v>
      </c>
      <c r="O461" s="313">
        <f t="shared" si="101"/>
        <v>2576.1528167400002</v>
      </c>
      <c r="P461" s="313">
        <f t="shared" si="101"/>
        <v>2958.2595270000002</v>
      </c>
      <c r="Q461" s="313">
        <f t="shared" si="101"/>
        <v>3287.3291450810002</v>
      </c>
      <c r="R461" s="313">
        <f t="shared" si="101"/>
        <v>3551.0340229516</v>
      </c>
      <c r="S461" s="313">
        <f t="shared" si="101"/>
        <v>3956.2709904419999</v>
      </c>
      <c r="T461" s="313">
        <f t="shared" si="101"/>
        <v>4481.1296590663396</v>
      </c>
      <c r="U461" s="313">
        <f t="shared" ref="U461:U466" si="102">T461*1.01</f>
        <v>4525.9409556570026</v>
      </c>
      <c r="V461" s="313">
        <f t="shared" si="101"/>
        <v>4964.6325303913227</v>
      </c>
      <c r="W461" s="313">
        <f t="shared" si="99"/>
        <v>5014.2788556952355</v>
      </c>
      <c r="X461" s="313">
        <f t="shared" si="101"/>
        <v>5504.7001278816915</v>
      </c>
      <c r="Y461" s="313">
        <f t="shared" si="100"/>
        <v>5559.7471291605088</v>
      </c>
      <c r="Z461" s="310"/>
      <c r="AN461" s="316">
        <f>Q477-P477</f>
        <v>468.84687110462073</v>
      </c>
      <c r="AO461" s="323">
        <f>Q477/P477-100%</f>
        <v>0.10396549680083655</v>
      </c>
    </row>
    <row r="462" spans="1:41" x14ac:dyDescent="0.2">
      <c r="A462" s="260" t="s">
        <v>1058</v>
      </c>
      <c r="B462" s="261"/>
      <c r="C462" s="282"/>
      <c r="D462" s="293"/>
      <c r="E462" s="293"/>
      <c r="F462" s="293"/>
      <c r="G462" s="294"/>
      <c r="H462" s="280"/>
      <c r="I462" s="280"/>
      <c r="J462" s="280"/>
      <c r="K462" s="280"/>
      <c r="L462" s="313"/>
      <c r="M462" s="313"/>
      <c r="N462" s="313"/>
      <c r="O462" s="313"/>
      <c r="P462" s="313"/>
      <c r="Q462" s="313"/>
      <c r="R462" s="313"/>
      <c r="S462" s="313"/>
      <c r="T462" s="313"/>
      <c r="U462" s="313"/>
      <c r="V462" s="313"/>
      <c r="W462" s="313"/>
      <c r="X462" s="313"/>
      <c r="Y462" s="313"/>
      <c r="Z462" s="310"/>
      <c r="AN462" s="316"/>
      <c r="AO462" s="323"/>
    </row>
    <row r="463" spans="1:41" x14ac:dyDescent="0.2">
      <c r="A463" s="404" t="s">
        <v>170</v>
      </c>
      <c r="B463" s="261" t="s">
        <v>896</v>
      </c>
      <c r="C463" s="282">
        <v>1</v>
      </c>
      <c r="D463" s="293"/>
      <c r="E463" s="293"/>
      <c r="F463" s="293"/>
      <c r="G463" s="294" t="s">
        <v>705</v>
      </c>
      <c r="H463" s="280"/>
      <c r="I463" s="280"/>
      <c r="J463" s="280"/>
      <c r="K463" s="280"/>
      <c r="L463" s="313">
        <f>L469*L561*1000*12/1000000</f>
        <v>1730.0877660000001</v>
      </c>
      <c r="M463" s="313">
        <f>M469*M561*1000*12/1000000</f>
        <v>1380.8820143999999</v>
      </c>
      <c r="N463" s="313">
        <f>N469*N561*1000*12/1000000</f>
        <v>1730.0877660000001</v>
      </c>
      <c r="O463" s="313">
        <f>O469*O561*1000*12/1000000</f>
        <v>1930.8942122400003</v>
      </c>
      <c r="P463" s="313">
        <f>P469*P561*1000*12/1000000</f>
        <v>2199.0826968000001</v>
      </c>
      <c r="Q463" s="328">
        <v>2484.9412000000002</v>
      </c>
      <c r="R463" s="328">
        <v>2694.0837999999999</v>
      </c>
      <c r="S463" s="328">
        <v>3044.4758999999999</v>
      </c>
      <c r="T463" s="313">
        <f t="shared" ref="T463:Y463" si="103">T469*T561*1000*12/1000000</f>
        <v>3446.2423892368993</v>
      </c>
      <c r="U463" s="313">
        <f t="shared" si="103"/>
        <v>3653.0169325911129</v>
      </c>
      <c r="V463" s="313">
        <f t="shared" si="103"/>
        <v>3859.3729959468342</v>
      </c>
      <c r="W463" s="313">
        <f t="shared" si="103"/>
        <v>4087.0760027076981</v>
      </c>
      <c r="X463" s="313">
        <f t="shared" si="103"/>
        <v>4329.8093149096876</v>
      </c>
      <c r="Y463" s="313">
        <f t="shared" si="103"/>
        <v>4554.9593992849923</v>
      </c>
      <c r="AN463" s="316">
        <f>Q478-P478</f>
        <v>-180</v>
      </c>
      <c r="AO463" s="323">
        <f>Q478/P478-100%</f>
        <v>-0.18947368421052635</v>
      </c>
    </row>
    <row r="464" spans="1:41" x14ac:dyDescent="0.2">
      <c r="A464" s="404" t="s">
        <v>171</v>
      </c>
      <c r="B464" s="261" t="s">
        <v>896</v>
      </c>
      <c r="C464" s="282">
        <v>1</v>
      </c>
      <c r="D464" s="293"/>
      <c r="E464" s="293"/>
      <c r="F464" s="293"/>
      <c r="G464" s="294" t="s">
        <v>705</v>
      </c>
      <c r="H464" s="280"/>
      <c r="I464" s="280"/>
      <c r="J464" s="280"/>
      <c r="K464" s="280"/>
      <c r="L464" s="540">
        <v>95.1</v>
      </c>
      <c r="M464" s="540">
        <v>96.1</v>
      </c>
      <c r="N464" s="540">
        <v>109.2</v>
      </c>
      <c r="O464" s="540">
        <f>191.158+454.1</f>
        <v>645.25800000000004</v>
      </c>
      <c r="P464" s="540">
        <f>206.474+552.7</f>
        <v>759.17399999999998</v>
      </c>
      <c r="Q464" s="540">
        <f>589.6+212.787</f>
        <v>802.38700000000006</v>
      </c>
      <c r="R464" s="313">
        <f>Q464*Q213/100</f>
        <v>856.94931600000007</v>
      </c>
      <c r="S464" s="313">
        <f>R464*R213/100</f>
        <v>911.79407222400016</v>
      </c>
      <c r="T464" s="313">
        <f>S464*S213/100</f>
        <v>1034.8862719742401</v>
      </c>
      <c r="U464" s="313">
        <f t="shared" si="102"/>
        <v>1045.2351346939824</v>
      </c>
      <c r="V464" s="313">
        <f>T464*T213/100</f>
        <v>1105.2585384684885</v>
      </c>
      <c r="W464" s="313">
        <f t="shared" si="99"/>
        <v>1116.3111238531733</v>
      </c>
      <c r="X464" s="313">
        <f>V464*V213/100</f>
        <v>1174.8898263920032</v>
      </c>
      <c r="Y464" s="313">
        <f t="shared" si="100"/>
        <v>1186.6387246559232</v>
      </c>
      <c r="AN464" s="316">
        <f>Q479-P479</f>
        <v>98.677619734911787</v>
      </c>
      <c r="AO464" s="323">
        <f>Q479/P479-100%</f>
        <v>0.17058121083358824</v>
      </c>
    </row>
    <row r="465" spans="1:41" x14ac:dyDescent="0.2">
      <c r="A465" s="404" t="s">
        <v>172</v>
      </c>
      <c r="B465" s="261" t="s">
        <v>896</v>
      </c>
      <c r="C465" s="282">
        <v>1</v>
      </c>
      <c r="D465" s="314"/>
      <c r="E465" s="293"/>
      <c r="F465" s="293"/>
      <c r="G465" s="294" t="s">
        <v>705</v>
      </c>
      <c r="H465" s="280"/>
      <c r="I465" s="280"/>
      <c r="J465" s="280"/>
      <c r="K465" s="280"/>
      <c r="L465" s="313">
        <f>(L506+L507+L509)*0.3*500/1000000</f>
        <v>3.9524999999999993E-4</v>
      </c>
      <c r="M465" s="313">
        <f>(M506+M507+M509)*0.3*500/1000000</f>
        <v>3.6900000000000002E-4</v>
      </c>
      <c r="N465" s="313">
        <f>(N506+N507+N509)*0.3*1000/1000000</f>
        <v>6.6929999999999984E-4</v>
      </c>
      <c r="O465" s="313">
        <f>(O506+O507+O509)*0.3*1000/1000000</f>
        <v>6.045E-4</v>
      </c>
      <c r="P465" s="313">
        <f>(P506+P507+P509)*0.3*2000/1000000</f>
        <v>2.8302000000000002E-3</v>
      </c>
      <c r="Q465" s="313">
        <f t="shared" ref="Q465:Y465" si="104">(Q506+Q507+Q509)*0.3*2000/1000000*Q559/100</f>
        <v>9.4508100000000007E-4</v>
      </c>
      <c r="R465" s="313">
        <f t="shared" si="104"/>
        <v>9.069515999999998E-4</v>
      </c>
      <c r="S465" s="313">
        <f t="shared" si="104"/>
        <v>1.018218E-3</v>
      </c>
      <c r="T465" s="313">
        <f t="shared" si="104"/>
        <v>9.9785520000000003E-4</v>
      </c>
      <c r="U465" s="313">
        <f t="shared" si="104"/>
        <v>9.9597599999999998E-4</v>
      </c>
      <c r="V465" s="313">
        <f t="shared" si="104"/>
        <v>9.9597599999999998E-4</v>
      </c>
      <c r="W465" s="313">
        <f t="shared" si="104"/>
        <v>9.9221759999999987E-4</v>
      </c>
      <c r="X465" s="313">
        <f t="shared" si="104"/>
        <v>9.8657999999999992E-4</v>
      </c>
      <c r="Y465" s="313">
        <f t="shared" si="104"/>
        <v>9.856404E-4</v>
      </c>
      <c r="AN465" s="316">
        <f>Q469-P469</f>
        <v>921.54000000000087</v>
      </c>
      <c r="AO465" s="323">
        <f>Q469/P469-100%</f>
        <v>9.6289136987947499E-2</v>
      </c>
    </row>
    <row r="466" spans="1:41" hidden="1" x14ac:dyDescent="0.2">
      <c r="A466" s="260" t="s">
        <v>174</v>
      </c>
      <c r="B466" s="261" t="s">
        <v>896</v>
      </c>
      <c r="C466" s="282">
        <v>1</v>
      </c>
      <c r="D466" s="293"/>
      <c r="E466" s="293"/>
      <c r="F466" s="293"/>
      <c r="G466" s="294" t="s">
        <v>705</v>
      </c>
      <c r="H466" s="280"/>
      <c r="I466" s="280"/>
      <c r="J466" s="280"/>
      <c r="K466" s="280"/>
      <c r="L466" s="313">
        <f>M466*0.98</f>
        <v>488.11723027199997</v>
      </c>
      <c r="M466" s="313">
        <f>N466*0.98</f>
        <v>498.07880639999996</v>
      </c>
      <c r="N466" s="313">
        <f>O466*0.98</f>
        <v>508.24367999999998</v>
      </c>
      <c r="O466" s="313">
        <f>P466*0.98</f>
        <v>518.61599999999999</v>
      </c>
      <c r="P466" s="313">
        <f>Q466*0.98</f>
        <v>529.20000000000005</v>
      </c>
      <c r="Q466" s="313">
        <f>3000*15000*12/1000000</f>
        <v>540</v>
      </c>
      <c r="R466" s="313">
        <f>3000*15000*12/1000000*R213/100</f>
        <v>574.55999999999995</v>
      </c>
      <c r="S466" s="313">
        <f>3000*15000*12/1000000*S213/100</f>
        <v>612.9</v>
      </c>
      <c r="T466" s="313">
        <f>3000*15000*12/1000000*T213/100</f>
        <v>576.72</v>
      </c>
      <c r="U466" s="313">
        <f t="shared" si="102"/>
        <v>582.48720000000003</v>
      </c>
      <c r="V466" s="313">
        <f>3000*15000*12/1000000*V213/100</f>
        <v>574.02</v>
      </c>
      <c r="W466" s="313">
        <f t="shared" si="99"/>
        <v>579.76019999999994</v>
      </c>
      <c r="X466" s="313">
        <f>3000*15000*12/1000000*X213/100</f>
        <v>569.70000000000005</v>
      </c>
      <c r="Y466" s="313">
        <f t="shared" si="100"/>
        <v>575.39700000000005</v>
      </c>
      <c r="AN466" s="316">
        <f>Q471-P471</f>
        <v>696</v>
      </c>
      <c r="AO466" s="323">
        <f>Q471/P471-100%</f>
        <v>0.10866510538641694</v>
      </c>
    </row>
    <row r="467" spans="1:41" x14ac:dyDescent="0.2">
      <c r="A467" s="260" t="s">
        <v>1077</v>
      </c>
      <c r="B467" s="261" t="s">
        <v>201</v>
      </c>
      <c r="C467" s="282">
        <v>1</v>
      </c>
      <c r="D467" s="293"/>
      <c r="E467" s="293"/>
      <c r="F467" s="293"/>
      <c r="G467" s="294" t="s">
        <v>705</v>
      </c>
      <c r="H467" s="280"/>
      <c r="I467" s="280"/>
      <c r="J467" s="280"/>
      <c r="K467" s="280"/>
      <c r="L467" s="313"/>
      <c r="M467" s="313">
        <f t="shared" ref="M467:T467" si="105">M455/L455*100</f>
        <v>98.242018100132299</v>
      </c>
      <c r="N467" s="313">
        <f t="shared" si="105"/>
        <v>115.59532436692088</v>
      </c>
      <c r="O467" s="313">
        <f t="shared" si="105"/>
        <v>120.70367788258751</v>
      </c>
      <c r="P467" s="313">
        <f t="shared" si="105"/>
        <v>108.35826881014032</v>
      </c>
      <c r="Q467" s="313">
        <f t="shared" si="105"/>
        <v>108.37400113819515</v>
      </c>
      <c r="R467" s="313">
        <f t="shared" si="105"/>
        <v>107.39732355935254</v>
      </c>
      <c r="S467" s="313">
        <f t="shared" si="105"/>
        <v>104.50615942417518</v>
      </c>
      <c r="T467" s="313">
        <f t="shared" si="105"/>
        <v>104.80986588331145</v>
      </c>
      <c r="U467" s="313">
        <f>U455/S455*100</f>
        <v>106.47964433727992</v>
      </c>
      <c r="V467" s="313">
        <f>V455/T455*100</f>
        <v>105.01456934008127</v>
      </c>
      <c r="W467" s="313">
        <f>W455/U455*100</f>
        <v>106.75002230631333</v>
      </c>
      <c r="X467" s="313">
        <f>X455/V455*100</f>
        <v>105.09764792385241</v>
      </c>
      <c r="Y467" s="313">
        <f>Y455/W455*100</f>
        <v>107.04227106575213</v>
      </c>
      <c r="AN467" s="316">
        <f>Q472-P472</f>
        <v>-9.5660099490211064</v>
      </c>
      <c r="AO467" s="323">
        <f>Q472/P472-100%</f>
        <v>-0.45601237183973398</v>
      </c>
    </row>
    <row r="468" spans="1:41" x14ac:dyDescent="0.2">
      <c r="A468" s="260" t="s">
        <v>1078</v>
      </c>
      <c r="B468" s="261" t="s">
        <v>176</v>
      </c>
      <c r="C468" s="282"/>
      <c r="D468" s="293"/>
      <c r="E468" s="293"/>
      <c r="F468" s="293"/>
      <c r="G468" s="294"/>
      <c r="H468" s="280"/>
      <c r="I468" s="280"/>
      <c r="J468" s="280"/>
      <c r="K468" s="280"/>
      <c r="L468" s="313">
        <f t="shared" ref="L468:Y468" si="106">L455*1000000/(L14*1000)/12</f>
        <v>9743.94954905542</v>
      </c>
      <c r="M468" s="313">
        <f t="shared" si="106"/>
        <v>9575.9690847868806</v>
      </c>
      <c r="N468" s="313">
        <f t="shared" si="106"/>
        <v>11098.209483747278</v>
      </c>
      <c r="O468" s="313">
        <f t="shared" si="106"/>
        <v>13501.89523847196</v>
      </c>
      <c r="P468" s="313">
        <f t="shared" si="106"/>
        <v>14740.670015055401</v>
      </c>
      <c r="Q468" s="313">
        <f t="shared" si="106"/>
        <v>16034.440707328278</v>
      </c>
      <c r="R468" s="313">
        <f t="shared" si="106"/>
        <v>17262.230206019503</v>
      </c>
      <c r="S468" s="313">
        <f t="shared" si="106"/>
        <v>18067.199427471594</v>
      </c>
      <c r="T468" s="313">
        <f t="shared" si="106"/>
        <v>18984.669064870497</v>
      </c>
      <c r="U468" s="313">
        <f t="shared" si="106"/>
        <v>19267.855478301728</v>
      </c>
      <c r="V468" s="313">
        <f t="shared" si="106"/>
        <v>19980.034369988025</v>
      </c>
      <c r="W468" s="313">
        <f t="shared" si="106"/>
        <v>20613.180150942757</v>
      </c>
      <c r="X468" s="313">
        <f t="shared" si="106"/>
        <v>21042.267530456887</v>
      </c>
      <c r="Y468" s="313">
        <f t="shared" si="106"/>
        <v>22088.690996280664</v>
      </c>
      <c r="AN468" s="316">
        <f>Q480-P480</f>
        <v>0</v>
      </c>
      <c r="AO468" s="323" t="e">
        <f>Q480/P480-100%</f>
        <v>#DIV/0!</v>
      </c>
    </row>
    <row r="469" spans="1:41" s="343" customFormat="1" x14ac:dyDescent="0.2">
      <c r="A469" s="260" t="s">
        <v>1080</v>
      </c>
      <c r="B469" s="261" t="s">
        <v>584</v>
      </c>
      <c r="C469" s="364">
        <v>1</v>
      </c>
      <c r="D469" s="365"/>
      <c r="E469" s="365"/>
      <c r="F469" s="365"/>
      <c r="G469" s="366" t="s">
        <v>705</v>
      </c>
      <c r="H469" s="367"/>
      <c r="I469" s="367"/>
      <c r="J469" s="367"/>
      <c r="K469" s="367"/>
      <c r="L469" s="429">
        <v>7943.47</v>
      </c>
      <c r="M469" s="313">
        <v>6487.4</v>
      </c>
      <c r="N469" s="313">
        <v>7943.47</v>
      </c>
      <c r="O469" s="313">
        <v>8648.17</v>
      </c>
      <c r="P469" s="313">
        <v>9570.5499999999993</v>
      </c>
      <c r="Q469" s="328">
        <v>10492.09</v>
      </c>
      <c r="R469" s="328">
        <v>11436.33</v>
      </c>
      <c r="S469" s="328">
        <v>12652.48</v>
      </c>
      <c r="T469" s="313">
        <f>S469*T470/100</f>
        <v>13887.351808607502</v>
      </c>
      <c r="U469" s="313">
        <f>T469*U213/100</f>
        <v>14720.592917123951</v>
      </c>
      <c r="V469" s="313">
        <f>T469*V470/100</f>
        <v>15247.203601261635</v>
      </c>
      <c r="W469" s="313">
        <f>V469*W213/100</f>
        <v>16146.788613736073</v>
      </c>
      <c r="X469" s="313">
        <f>V469*X470/100</f>
        <v>16770.34683430205</v>
      </c>
      <c r="Y469" s="313">
        <f>X469*Y213/100</f>
        <v>17642.404869685757</v>
      </c>
      <c r="Z469" s="31"/>
      <c r="AA469" s="444"/>
      <c r="AB469" s="444"/>
      <c r="AC469" s="444"/>
      <c r="AD469" s="444"/>
      <c r="AE469" s="444"/>
      <c r="AF469" s="444"/>
      <c r="AG469" s="444"/>
      <c r="AH469" s="444"/>
      <c r="AI469" s="444"/>
      <c r="AJ469" s="444"/>
      <c r="AK469" s="444"/>
      <c r="AL469" s="444"/>
      <c r="AM469" s="444"/>
      <c r="AN469" s="362">
        <f>Q490-P490</f>
        <v>-0.27582439411998472</v>
      </c>
      <c r="AO469" s="363">
        <f>Q490/P490-100%</f>
        <v>-4.7312641937925948E-2</v>
      </c>
    </row>
    <row r="470" spans="1:41" s="343" customFormat="1" x14ac:dyDescent="0.2">
      <c r="A470" s="260" t="s">
        <v>668</v>
      </c>
      <c r="B470" s="261" t="s">
        <v>898</v>
      </c>
      <c r="C470" s="364">
        <v>1</v>
      </c>
      <c r="D470" s="365"/>
      <c r="E470" s="365"/>
      <c r="F470" s="365"/>
      <c r="G470" s="366" t="s">
        <v>705</v>
      </c>
      <c r="H470" s="367"/>
      <c r="I470" s="367"/>
      <c r="J470" s="367"/>
      <c r="K470" s="367"/>
      <c r="L470" s="281">
        <v>122.4</v>
      </c>
      <c r="M470" s="324">
        <f t="shared" ref="M470:S470" si="107">M469/L469*100</f>
        <v>81.669597795421893</v>
      </c>
      <c r="N470" s="324">
        <f t="shared" si="107"/>
        <v>122.44458488762832</v>
      </c>
      <c r="O470" s="324">
        <f t="shared" si="107"/>
        <v>108.87143779733542</v>
      </c>
      <c r="P470" s="324">
        <f t="shared" si="107"/>
        <v>110.66560902479945</v>
      </c>
      <c r="Q470" s="324">
        <f t="shared" si="107"/>
        <v>109.62891369879475</v>
      </c>
      <c r="R470" s="324">
        <f t="shared" si="107"/>
        <v>108.99954155940333</v>
      </c>
      <c r="S470" s="324">
        <f t="shared" si="107"/>
        <v>110.6340932799246</v>
      </c>
      <c r="T470" s="324">
        <f t="shared" ref="T470:Y470" si="108">AVERAGE(O470,P470,Q470,R470,S470)</f>
        <v>109.7599190720515</v>
      </c>
      <c r="U470" s="324">
        <f t="shared" si="108"/>
        <v>109.93761532699473</v>
      </c>
      <c r="V470" s="324">
        <f t="shared" si="108"/>
        <v>109.79201658743379</v>
      </c>
      <c r="W470" s="324">
        <f t="shared" si="108"/>
        <v>109.82463716516159</v>
      </c>
      <c r="X470" s="324">
        <f t="shared" si="108"/>
        <v>109.98965628631325</v>
      </c>
      <c r="Y470" s="324">
        <f t="shared" si="108"/>
        <v>109.86076888759096</v>
      </c>
      <c r="Z470" s="31"/>
      <c r="AA470" s="444"/>
      <c r="AB470" s="444"/>
      <c r="AC470" s="444"/>
      <c r="AD470" s="444"/>
      <c r="AE470" s="444"/>
      <c r="AF470" s="444"/>
      <c r="AG470" s="444"/>
      <c r="AH470" s="444"/>
      <c r="AI470" s="444"/>
      <c r="AJ470" s="444"/>
      <c r="AK470" s="444"/>
      <c r="AL470" s="444"/>
      <c r="AM470" s="444"/>
      <c r="AN470" s="362" t="e">
        <f>#REF!-#REF!</f>
        <v>#REF!</v>
      </c>
      <c r="AO470" s="363" t="e">
        <f>#REF!/#REF!-100%</f>
        <v>#REF!</v>
      </c>
    </row>
    <row r="471" spans="1:41" s="343" customFormat="1" ht="21" x14ac:dyDescent="0.2">
      <c r="A471" s="260" t="s">
        <v>1079</v>
      </c>
      <c r="B471" s="261" t="s">
        <v>584</v>
      </c>
      <c r="C471" s="364">
        <v>1</v>
      </c>
      <c r="D471" s="365"/>
      <c r="E471" s="365"/>
      <c r="F471" s="365"/>
      <c r="G471" s="366" t="s">
        <v>705</v>
      </c>
      <c r="H471" s="367"/>
      <c r="I471" s="367"/>
      <c r="J471" s="367"/>
      <c r="K471" s="367"/>
      <c r="L471" s="543">
        <v>4448</v>
      </c>
      <c r="M471" s="543">
        <v>4890</v>
      </c>
      <c r="N471" s="543">
        <v>5434</v>
      </c>
      <c r="O471" s="543">
        <v>5895</v>
      </c>
      <c r="P471" s="543">
        <v>6405</v>
      </c>
      <c r="Q471" s="543">
        <v>7101</v>
      </c>
      <c r="R471" s="543">
        <v>8006</v>
      </c>
      <c r="S471" s="543">
        <v>9110</v>
      </c>
      <c r="T471" s="514">
        <f>S471*T213/100</f>
        <v>9729.48</v>
      </c>
      <c r="U471" s="313">
        <f>T471*1.01</f>
        <v>9826.7747999999992</v>
      </c>
      <c r="V471" s="514">
        <f>T471*V213/100</f>
        <v>10342.437239999999</v>
      </c>
      <c r="W471" s="313">
        <f>V471*1.01</f>
        <v>10445.8616124</v>
      </c>
      <c r="X471" s="514">
        <f>V471*X213/100</f>
        <v>10911.2712882</v>
      </c>
      <c r="Y471" s="313">
        <f>X471*1.01</f>
        <v>11020.384001082</v>
      </c>
      <c r="Z471" s="31"/>
      <c r="AA471" s="444"/>
      <c r="AB471" s="444"/>
      <c r="AC471" s="444"/>
      <c r="AD471" s="444"/>
      <c r="AE471" s="444"/>
      <c r="AF471" s="444"/>
      <c r="AG471" s="444"/>
      <c r="AH471" s="444"/>
      <c r="AI471" s="444"/>
      <c r="AJ471" s="444"/>
      <c r="AK471" s="444"/>
      <c r="AL471" s="444"/>
      <c r="AM471" s="444"/>
      <c r="AN471" s="362" t="e">
        <f>#REF!-#REF!</f>
        <v>#REF!</v>
      </c>
      <c r="AO471" s="363" t="e">
        <f>#REF!/#REF!-100%</f>
        <v>#REF!</v>
      </c>
    </row>
    <row r="472" spans="1:41" s="343" customFormat="1" ht="21" x14ac:dyDescent="0.2">
      <c r="A472" s="260" t="s">
        <v>1082</v>
      </c>
      <c r="B472" s="261" t="s">
        <v>1081</v>
      </c>
      <c r="C472" s="364">
        <v>1</v>
      </c>
      <c r="D472" s="365"/>
      <c r="E472" s="365"/>
      <c r="F472" s="365"/>
      <c r="G472" s="366" t="s">
        <v>705</v>
      </c>
      <c r="H472" s="367"/>
      <c r="I472" s="367"/>
      <c r="J472" s="367"/>
      <c r="K472" s="367"/>
      <c r="L472" s="313">
        <f>(L564*1000+L493*1000)/(L14*1000)*100</f>
        <v>11.208362193816511</v>
      </c>
      <c r="M472" s="313">
        <f>(M564*1000+M493*1000)/(M14*1000)*100</f>
        <v>9.2938379893546674</v>
      </c>
      <c r="N472" s="313">
        <f>(N564*1000+N493*1000)/(N14*1000)*100</f>
        <v>9.160010736220535</v>
      </c>
      <c r="O472" s="313">
        <f>(O564*1000+O493*1000-3000)/(O14*1000)*100</f>
        <v>10.982544557606619</v>
      </c>
      <c r="P472" s="313">
        <f>(P564*1000+P493*1000-3000)/(P14*1000)*100</f>
        <v>20.977522847522852</v>
      </c>
      <c r="Q472" s="313">
        <f t="shared" ref="Q472:Y472" si="109">(Q564*1000+Q493*1000-3000-500)/(Q14*1000)*100</f>
        <v>11.411512898501746</v>
      </c>
      <c r="R472" s="313">
        <f t="shared" si="109"/>
        <v>10.487344528868025</v>
      </c>
      <c r="S472" s="313">
        <f t="shared" si="109"/>
        <v>12.202727155228125</v>
      </c>
      <c r="T472" s="313">
        <f t="shared" si="109"/>
        <v>11.51856771086419</v>
      </c>
      <c r="U472" s="313">
        <f t="shared" si="109"/>
        <v>11.34564356890963</v>
      </c>
      <c r="V472" s="313">
        <f t="shared" si="109"/>
        <v>11.507550014789805</v>
      </c>
      <c r="W472" s="313">
        <f t="shared" si="109"/>
        <v>11.334646134334466</v>
      </c>
      <c r="X472" s="313">
        <f t="shared" si="109"/>
        <v>11.808643180235347</v>
      </c>
      <c r="Y472" s="313">
        <f t="shared" si="109"/>
        <v>11.62072475951647</v>
      </c>
      <c r="Z472" s="31"/>
      <c r="AA472" s="444"/>
      <c r="AB472" s="444"/>
      <c r="AC472" s="444"/>
      <c r="AD472" s="444"/>
      <c r="AE472" s="444"/>
      <c r="AF472" s="444"/>
      <c r="AG472" s="444"/>
      <c r="AH472" s="444"/>
      <c r="AI472" s="444"/>
      <c r="AJ472" s="444"/>
      <c r="AK472" s="444"/>
      <c r="AL472" s="444"/>
      <c r="AM472" s="444"/>
      <c r="AN472" s="362" t="e">
        <f>#REF!-#REF!</f>
        <v>#REF!</v>
      </c>
      <c r="AO472" s="363" t="e">
        <f>#REF!/#REF!-100%</f>
        <v>#REF!</v>
      </c>
    </row>
    <row r="473" spans="1:41" s="271" customFormat="1" ht="15" customHeight="1" x14ac:dyDescent="0.15">
      <c r="A473" s="264" t="s">
        <v>199</v>
      </c>
      <c r="B473" s="265" t="s">
        <v>896</v>
      </c>
      <c r="C473" s="410">
        <v>1</v>
      </c>
      <c r="D473" s="293"/>
      <c r="E473" s="293"/>
      <c r="F473" s="293"/>
      <c r="G473" s="294" t="s">
        <v>705</v>
      </c>
      <c r="H473" s="411"/>
      <c r="I473" s="411"/>
      <c r="J473" s="411"/>
      <c r="K473" s="411"/>
      <c r="L473" s="322">
        <f t="shared" ref="L473:Q473" si="110">L475+L477+L478</f>
        <v>7170.6018027176115</v>
      </c>
      <c r="M473" s="322">
        <f t="shared" si="110"/>
        <v>7063.5125965115058</v>
      </c>
      <c r="N473" s="322">
        <f t="shared" si="110"/>
        <v>8176.5155985113042</v>
      </c>
      <c r="O473" s="322">
        <f t="shared" si="110"/>
        <v>9804.9995483439525</v>
      </c>
      <c r="P473" s="322">
        <f t="shared" si="110"/>
        <v>10454.028233301555</v>
      </c>
      <c r="Q473" s="322">
        <f t="shared" si="110"/>
        <v>11279.212880850642</v>
      </c>
      <c r="R473" s="322">
        <f t="shared" ref="R473:Y473" si="111">R475+R477+R478</f>
        <v>12160.717644890072</v>
      </c>
      <c r="S473" s="322">
        <f t="shared" si="111"/>
        <v>12629.396868984953</v>
      </c>
      <c r="T473" s="322">
        <f t="shared" si="111"/>
        <v>13245.00131313931</v>
      </c>
      <c r="U473" s="322">
        <f t="shared" si="111"/>
        <v>13377.451326270704</v>
      </c>
      <c r="V473" s="322">
        <f t="shared" si="111"/>
        <v>13888.135801291188</v>
      </c>
      <c r="W473" s="322">
        <f>W475+W477+W478</f>
        <v>14194.217159304098</v>
      </c>
      <c r="X473" s="322">
        <f>X475+X477+X478</f>
        <v>14470.399169121862</v>
      </c>
      <c r="Y473" s="322">
        <f t="shared" si="111"/>
        <v>14790.663160813081</v>
      </c>
      <c r="Z473" s="266"/>
      <c r="AA473" s="544"/>
      <c r="AB473" s="544"/>
      <c r="AC473" s="544"/>
      <c r="AD473" s="544"/>
      <c r="AE473" s="544"/>
      <c r="AF473" s="544"/>
      <c r="AG473" s="544"/>
      <c r="AH473" s="544"/>
      <c r="AI473" s="544"/>
      <c r="AJ473" s="544"/>
      <c r="AK473" s="544"/>
      <c r="AL473" s="544"/>
      <c r="AM473" s="544"/>
      <c r="AN473" s="391">
        <f>Q563-P563</f>
        <v>-1.1199999999999974</v>
      </c>
      <c r="AO473" s="392">
        <f>Q563/P563-100%</f>
        <v>-2.963433349208866E-2</v>
      </c>
    </row>
    <row r="474" spans="1:41" s="271" customFormat="1" x14ac:dyDescent="0.2">
      <c r="A474" s="260" t="s">
        <v>446</v>
      </c>
      <c r="B474" s="261" t="s">
        <v>322</v>
      </c>
      <c r="C474" s="410">
        <v>1</v>
      </c>
      <c r="D474" s="293"/>
      <c r="E474" s="293"/>
      <c r="F474" s="293"/>
      <c r="G474" s="294" t="s">
        <v>705</v>
      </c>
      <c r="H474" s="411"/>
      <c r="I474" s="411"/>
      <c r="J474" s="411"/>
      <c r="K474" s="411"/>
      <c r="L474" s="281"/>
      <c r="M474" s="313"/>
      <c r="N474" s="313"/>
      <c r="O474" s="313"/>
      <c r="P474" s="313"/>
      <c r="Q474" s="313"/>
      <c r="R474" s="313"/>
      <c r="S474" s="313"/>
      <c r="T474" s="313"/>
      <c r="U474" s="313"/>
      <c r="V474" s="313"/>
      <c r="W474" s="313"/>
      <c r="X474" s="313"/>
      <c r="Y474" s="313"/>
      <c r="Z474" s="31"/>
      <c r="AA474" s="544"/>
      <c r="AB474" s="544"/>
      <c r="AC474" s="544"/>
      <c r="AD474" s="544"/>
      <c r="AE474" s="544"/>
      <c r="AF474" s="544"/>
      <c r="AG474" s="544"/>
      <c r="AH474" s="544"/>
      <c r="AI474" s="544"/>
      <c r="AJ474" s="544"/>
      <c r="AK474" s="544"/>
      <c r="AL474" s="544"/>
      <c r="AM474" s="544"/>
      <c r="AN474" s="391">
        <f>Q482-P482</f>
        <v>-1.125</v>
      </c>
      <c r="AO474" s="392">
        <f>Q482/P482-100%</f>
        <v>-4.7312641937925837E-2</v>
      </c>
    </row>
    <row r="475" spans="1:41" x14ac:dyDescent="0.2">
      <c r="A475" s="260" t="s">
        <v>581</v>
      </c>
      <c r="B475" s="261" t="s">
        <v>896</v>
      </c>
      <c r="C475" s="282"/>
      <c r="D475" s="293"/>
      <c r="E475" s="293"/>
      <c r="F475" s="293"/>
      <c r="G475" s="294"/>
      <c r="H475" s="280"/>
      <c r="I475" s="280"/>
      <c r="J475" s="280"/>
      <c r="K475" s="280"/>
      <c r="L475" s="313">
        <f>(L214*0.6+L217+L220)</f>
        <v>3186.72</v>
      </c>
      <c r="M475" s="313">
        <f>(M214*0.6+M217+M220)</f>
        <v>3397.16</v>
      </c>
      <c r="N475" s="313">
        <f>(N214*0.6+N217+N220)</f>
        <v>3787.86</v>
      </c>
      <c r="O475" s="313">
        <f t="shared" ref="O475:T475" si="112">(O214*0.8+O217+O220)</f>
        <v>4667.2652225395268</v>
      </c>
      <c r="P475" s="313">
        <f t="shared" si="112"/>
        <v>4994.3891171361574</v>
      </c>
      <c r="Q475" s="313">
        <f t="shared" si="112"/>
        <v>5530.7268935806251</v>
      </c>
      <c r="R475" s="313">
        <f t="shared" si="112"/>
        <v>6171.5731497286979</v>
      </c>
      <c r="S475" s="313">
        <f t="shared" si="112"/>
        <v>6540.5281871138141</v>
      </c>
      <c r="T475" s="313">
        <f t="shared" si="112"/>
        <v>7012.7256565735743</v>
      </c>
      <c r="U475" s="313">
        <f>T475*1.01</f>
        <v>7082.8529131393097</v>
      </c>
      <c r="V475" s="313">
        <f>(V214*0.8+V217+V220)</f>
        <v>7530.4625755358284</v>
      </c>
      <c r="W475" s="313">
        <f>V475*1.01</f>
        <v>7605.7672012911871</v>
      </c>
      <c r="X475" s="313">
        <f>(X214*0.8+X217+X220)</f>
        <v>7961.1403654671903</v>
      </c>
      <c r="Y475" s="313">
        <f>X475*1.01</f>
        <v>8040.7517691218627</v>
      </c>
      <c r="AN475" s="316">
        <f>Q485-P485</f>
        <v>0</v>
      </c>
      <c r="AO475" s="323" t="e">
        <f>Q485/P485-100%</f>
        <v>#DIV/0!</v>
      </c>
    </row>
    <row r="476" spans="1:41" s="343" customFormat="1" x14ac:dyDescent="0.2">
      <c r="A476" s="404" t="s">
        <v>177</v>
      </c>
      <c r="B476" s="261" t="s">
        <v>896</v>
      </c>
      <c r="C476" s="364">
        <v>1</v>
      </c>
      <c r="D476" s="365"/>
      <c r="E476" s="365"/>
      <c r="F476" s="365"/>
      <c r="G476" s="366" t="s">
        <v>705</v>
      </c>
      <c r="H476" s="367"/>
      <c r="I476" s="367"/>
      <c r="J476" s="367"/>
      <c r="K476" s="367"/>
      <c r="L476" s="313">
        <f>L214*0.6</f>
        <v>1416.7199999999998</v>
      </c>
      <c r="M476" s="313">
        <f>M214*0.6</f>
        <v>1563.6599999999999</v>
      </c>
      <c r="N476" s="313">
        <f>N214*0.6</f>
        <v>1612.56</v>
      </c>
      <c r="O476" s="313">
        <f t="shared" ref="O476:T476" si="113">O214*0.8</f>
        <v>2460.5222304000004</v>
      </c>
      <c r="P476" s="313">
        <f t="shared" si="113"/>
        <v>2636.1890669577342</v>
      </c>
      <c r="Q476" s="313">
        <f t="shared" si="113"/>
        <v>3037.0611730555806</v>
      </c>
      <c r="R476" s="313">
        <f t="shared" si="113"/>
        <v>3793.6800000000003</v>
      </c>
      <c r="S476" s="313">
        <f t="shared" si="113"/>
        <v>4012.56</v>
      </c>
      <c r="T476" s="313">
        <f t="shared" si="113"/>
        <v>4358.5600000000004</v>
      </c>
      <c r="U476" s="313">
        <f>T476*1.01</f>
        <v>4402.1456000000007</v>
      </c>
      <c r="V476" s="313">
        <f>V214*0.8</f>
        <v>4717.04</v>
      </c>
      <c r="W476" s="313">
        <f>V476*1.01</f>
        <v>4764.2103999999999</v>
      </c>
      <c r="X476" s="313">
        <f>X214*0.8</f>
        <v>5004.5600000000004</v>
      </c>
      <c r="Y476" s="313">
        <f>X476*1.01</f>
        <v>5054.6056000000008</v>
      </c>
      <c r="Z476" s="31"/>
      <c r="AA476" s="444"/>
      <c r="AB476" s="444"/>
      <c r="AC476" s="444"/>
      <c r="AD476" s="444"/>
      <c r="AE476" s="444"/>
      <c r="AF476" s="444"/>
      <c r="AG476" s="444"/>
      <c r="AH476" s="444"/>
      <c r="AI476" s="444"/>
      <c r="AJ476" s="444"/>
      <c r="AK476" s="444"/>
      <c r="AL476" s="444"/>
      <c r="AM476" s="444"/>
      <c r="AN476" s="362">
        <f>Q486-P486</f>
        <v>-0.48450536352800988</v>
      </c>
      <c r="AO476" s="363">
        <f>Q486/P486-100%</f>
        <v>-4.7312641937925837E-2</v>
      </c>
    </row>
    <row r="477" spans="1:41" s="343" customFormat="1" ht="21" x14ac:dyDescent="0.2">
      <c r="A477" s="260" t="s">
        <v>582</v>
      </c>
      <c r="B477" s="261" t="s">
        <v>896</v>
      </c>
      <c r="C477" s="364">
        <v>1</v>
      </c>
      <c r="D477" s="365"/>
      <c r="E477" s="365"/>
      <c r="F477" s="365"/>
      <c r="G477" s="366" t="s">
        <v>705</v>
      </c>
      <c r="H477" s="367"/>
      <c r="I477" s="367"/>
      <c r="J477" s="367"/>
      <c r="K477" s="367"/>
      <c r="L477" s="313">
        <f>315.5+115.7+334.4+(L457*0.1)+(L458*0.13)+(L458*0.35)+L422+L423+L427+L428</f>
        <v>3203.8818027176117</v>
      </c>
      <c r="M477" s="313">
        <f>348.5+124.81+376.8+(M457*0.1)+(M458*0.13)+(M458*0.35)+M422+M423+M427+M428</f>
        <v>3376.3525965115064</v>
      </c>
      <c r="N477" s="313">
        <f>343.1+122.9+371+(N457*0.1)+(N458*0.13)+(N458*0.35)+N422+N423+N427+N428</f>
        <v>3780.6555985113041</v>
      </c>
      <c r="O477" s="313">
        <f>343.5+123+371.4+(O457*0.1)+(O458*0.13)+(O458*0.35)+O422+O423+O427+O428</f>
        <v>4267.7343258044257</v>
      </c>
      <c r="P477" s="313">
        <f>327.4+117.2+354+(P457*0.1)+(P458*0.13)+(P458*0.35)+P422+P423+P427+P428</f>
        <v>4509.6391161653974</v>
      </c>
      <c r="Q477" s="313">
        <f>289.1+272.3+496.6+(Q457*0.1)+(Q458*0.13)+(Q458*0.35)+Q422+Q423+Q427+Q428</f>
        <v>4978.4859872700181</v>
      </c>
      <c r="R477" s="313">
        <f>200.5+267.6+520.3+(R457*0.1)+(R458*0.13)+(R458*0.35)+R422+R423+R427+R428</f>
        <v>5159.1444951613739</v>
      </c>
      <c r="S477" s="313">
        <f>169+293.6+570.7+(S457*0.1)+(S458*0.13)+(S458*0.35)+S422+S423+S427+S428</f>
        <v>5198.8686818711385</v>
      </c>
      <c r="T477" s="313">
        <f>181.3+314.8+612+(T457*0.1)+(T458*0.13)+(T458*0.35)+T422+T423+T427+T428</f>
        <v>5322.2756565657364</v>
      </c>
      <c r="U477" s="313">
        <f>T477*1.01</f>
        <v>5375.498413131394</v>
      </c>
      <c r="V477" s="313">
        <f>192.7+334.8+650.8+(V457*0.1)+(V458*0.13)+(V458*0.35)+V422+V423+V427+V428</f>
        <v>5477.6732257553585</v>
      </c>
      <c r="W477" s="313">
        <f>V477*1.01</f>
        <v>5532.4499580129122</v>
      </c>
      <c r="X477" s="313">
        <f>196.3+340.9+662.7+(X457*0.1)+(X458*0.13)+(X458*0.35)+X422+X423+X427+X428</f>
        <v>5585.2588036546722</v>
      </c>
      <c r="Y477" s="313">
        <f>X477*1.01</f>
        <v>5641.1113916912191</v>
      </c>
      <c r="Z477" s="31"/>
      <c r="AA477" s="444"/>
      <c r="AB477" s="444"/>
      <c r="AC477" s="444"/>
      <c r="AD477" s="444"/>
      <c r="AE477" s="444"/>
      <c r="AF477" s="444"/>
      <c r="AG477" s="444"/>
      <c r="AH477" s="444"/>
      <c r="AI477" s="444"/>
      <c r="AJ477" s="444"/>
      <c r="AK477" s="444"/>
      <c r="AL477" s="444"/>
      <c r="AM477" s="444"/>
      <c r="AN477" s="362">
        <f>Q487-P487</f>
        <v>-5.0158919348430586E-3</v>
      </c>
      <c r="AO477" s="363">
        <f>Q487/P487-100%</f>
        <v>-4.7312641937925726E-2</v>
      </c>
    </row>
    <row r="478" spans="1:41" s="343" customFormat="1" x14ac:dyDescent="0.2">
      <c r="A478" s="260" t="s">
        <v>200</v>
      </c>
      <c r="B478" s="261" t="s">
        <v>896</v>
      </c>
      <c r="C478" s="364">
        <v>1</v>
      </c>
      <c r="D478" s="365"/>
      <c r="E478" s="365"/>
      <c r="F478" s="365"/>
      <c r="G478" s="366" t="s">
        <v>705</v>
      </c>
      <c r="H478" s="367"/>
      <c r="I478" s="367"/>
      <c r="J478" s="367"/>
      <c r="K478" s="367"/>
      <c r="L478" s="499">
        <v>780</v>
      </c>
      <c r="M478" s="328">
        <v>290</v>
      </c>
      <c r="N478" s="328">
        <v>608</v>
      </c>
      <c r="O478" s="328">
        <v>870</v>
      </c>
      <c r="P478" s="328">
        <v>950</v>
      </c>
      <c r="Q478" s="328">
        <v>770</v>
      </c>
      <c r="R478" s="328">
        <v>830</v>
      </c>
      <c r="S478" s="328">
        <v>890</v>
      </c>
      <c r="T478" s="542">
        <v>910</v>
      </c>
      <c r="U478" s="313">
        <f>T478*1.01</f>
        <v>919.1</v>
      </c>
      <c r="V478" s="542">
        <v>880</v>
      </c>
      <c r="W478" s="313">
        <f>V478*1.2</f>
        <v>1056</v>
      </c>
      <c r="X478" s="542">
        <f>V478*105/100</f>
        <v>924</v>
      </c>
      <c r="Y478" s="313">
        <f>X478*1.2</f>
        <v>1108.8</v>
      </c>
      <c r="Z478" s="31"/>
      <c r="AA478" s="444"/>
      <c r="AB478" s="444"/>
      <c r="AC478" s="444"/>
      <c r="AD478" s="444"/>
      <c r="AE478" s="444"/>
      <c r="AF478" s="444"/>
      <c r="AG478" s="444"/>
      <c r="AH478" s="444"/>
      <c r="AI478" s="444"/>
      <c r="AJ478" s="444"/>
      <c r="AK478" s="444"/>
      <c r="AL478" s="444"/>
      <c r="AM478" s="444"/>
      <c r="AN478" s="362">
        <f>Q488-P488</f>
        <v>-5.4529201430274288E-2</v>
      </c>
      <c r="AO478" s="363">
        <f>Q488/P488-100%</f>
        <v>-4.7312641937925948E-2</v>
      </c>
    </row>
    <row r="479" spans="1:41" s="343" customFormat="1" ht="21" x14ac:dyDescent="0.2">
      <c r="A479" s="260" t="s">
        <v>583</v>
      </c>
      <c r="B479" s="261" t="s">
        <v>896</v>
      </c>
      <c r="C479" s="364">
        <v>1</v>
      </c>
      <c r="D479" s="365"/>
      <c r="E479" s="365"/>
      <c r="F479" s="365"/>
      <c r="G479" s="366" t="s">
        <v>705</v>
      </c>
      <c r="H479" s="367"/>
      <c r="I479" s="367"/>
      <c r="J479" s="367"/>
      <c r="K479" s="367"/>
      <c r="L479" s="313">
        <f t="shared" ref="L479:Y479" si="114">L455-L473</f>
        <v>257.09401113274635</v>
      </c>
      <c r="M479" s="313">
        <f t="shared" si="114"/>
        <v>233.60566935413226</v>
      </c>
      <c r="N479" s="313">
        <f t="shared" si="114"/>
        <v>258.6119303539117</v>
      </c>
      <c r="O479" s="313">
        <f t="shared" si="114"/>
        <v>376.50961308298247</v>
      </c>
      <c r="P479" s="313">
        <f t="shared" si="114"/>
        <v>578.47883276650828</v>
      </c>
      <c r="Q479" s="313">
        <f t="shared" si="114"/>
        <v>677.15645250142006</v>
      </c>
      <c r="R479" s="313">
        <f t="shared" si="114"/>
        <v>680.10301400124627</v>
      </c>
      <c r="S479" s="313">
        <f t="shared" si="114"/>
        <v>790.051640168429</v>
      </c>
      <c r="T479" s="313">
        <f t="shared" si="114"/>
        <v>819.90467158438878</v>
      </c>
      <c r="U479" s="313">
        <f t="shared" si="114"/>
        <v>911.52971830022943</v>
      </c>
      <c r="V479" s="313">
        <f t="shared" si="114"/>
        <v>882.06464665372005</v>
      </c>
      <c r="W479" s="313">
        <f t="shared" si="114"/>
        <v>1059.2732931202554</v>
      </c>
      <c r="X479" s="313">
        <f t="shared" si="114"/>
        <v>1052.7340953065504</v>
      </c>
      <c r="Y479" s="313">
        <f t="shared" si="114"/>
        <v>1537.0194362596158</v>
      </c>
      <c r="Z479" s="421" t="s">
        <v>952</v>
      </c>
      <c r="AA479" s="444"/>
      <c r="AB479" s="444"/>
      <c r="AC479" s="444"/>
      <c r="AD479" s="444"/>
      <c r="AE479" s="444"/>
      <c r="AF479" s="444"/>
      <c r="AG479" s="444"/>
      <c r="AH479" s="444"/>
      <c r="AI479" s="444"/>
      <c r="AJ479" s="444"/>
      <c r="AK479" s="444"/>
      <c r="AL479" s="444"/>
      <c r="AM479" s="444"/>
      <c r="AN479" s="362">
        <f>Q489-P489</f>
        <v>-0.24463647199046523</v>
      </c>
      <c r="AO479" s="363">
        <f>Q489/P489-100%</f>
        <v>-4.7312641937925837E-2</v>
      </c>
    </row>
    <row r="480" spans="1:41" s="343" customFormat="1" ht="14.25" x14ac:dyDescent="0.2">
      <c r="A480" s="292" t="s">
        <v>179</v>
      </c>
      <c r="B480" s="261"/>
      <c r="C480" s="364">
        <v>1</v>
      </c>
      <c r="D480" s="365"/>
      <c r="E480" s="365"/>
      <c r="F480" s="365"/>
      <c r="G480" s="366" t="s">
        <v>705</v>
      </c>
      <c r="H480" s="367"/>
      <c r="I480" s="367"/>
      <c r="J480" s="367"/>
      <c r="K480" s="367"/>
      <c r="L480" s="281"/>
      <c r="M480" s="281"/>
      <c r="N480" s="281"/>
      <c r="O480" s="281"/>
      <c r="P480" s="313"/>
      <c r="Q480" s="313"/>
      <c r="R480" s="313"/>
      <c r="S480" s="313"/>
      <c r="T480" s="313"/>
      <c r="U480" s="313"/>
      <c r="V480" s="313"/>
      <c r="W480" s="313"/>
      <c r="X480" s="313"/>
      <c r="Y480" s="313"/>
      <c r="Z480" s="31"/>
      <c r="AA480" s="444"/>
      <c r="AB480" s="444"/>
      <c r="AC480" s="444"/>
      <c r="AD480" s="444"/>
      <c r="AE480" s="444"/>
      <c r="AF480" s="444"/>
      <c r="AG480" s="444"/>
      <c r="AH480" s="444"/>
      <c r="AI480" s="444"/>
      <c r="AJ480" s="444"/>
      <c r="AK480" s="444"/>
      <c r="AL480" s="444"/>
      <c r="AM480" s="444"/>
      <c r="AN480" s="362" t="e">
        <f>#REF!-#REF!</f>
        <v>#REF!</v>
      </c>
      <c r="AO480" s="363" t="e">
        <f>#REF!/#REF!-100%</f>
        <v>#REF!</v>
      </c>
    </row>
    <row r="481" spans="1:41" s="343" customFormat="1" ht="21" x14ac:dyDescent="0.2">
      <c r="A481" s="260" t="s">
        <v>1083</v>
      </c>
      <c r="B481" s="261" t="s">
        <v>837</v>
      </c>
      <c r="C481" s="364"/>
      <c r="D481" s="365"/>
      <c r="E481" s="365"/>
      <c r="F481" s="365"/>
      <c r="G481" s="366"/>
      <c r="H481" s="367"/>
      <c r="I481" s="367"/>
      <c r="J481" s="367"/>
      <c r="K481" s="367"/>
      <c r="L481" s="281"/>
      <c r="M481" s="281"/>
      <c r="N481" s="281"/>
      <c r="O481" s="281"/>
      <c r="P481" s="313">
        <v>36.1</v>
      </c>
      <c r="Q481" s="313">
        <v>34.799999999999997</v>
      </c>
      <c r="R481" s="313">
        <v>36.5</v>
      </c>
      <c r="S481" s="313">
        <v>35.4</v>
      </c>
      <c r="T481" s="313">
        <f t="shared" ref="T481:Y481" si="115">T563-0.611</f>
        <v>33.108733866313038</v>
      </c>
      <c r="U481" s="313">
        <f t="shared" si="115"/>
        <v>33.142453600179344</v>
      </c>
      <c r="V481" s="313">
        <f t="shared" si="115"/>
        <v>32.177856169223908</v>
      </c>
      <c r="W481" s="313">
        <f t="shared" si="115"/>
        <v>32.210645025393127</v>
      </c>
      <c r="X481" s="313">
        <f t="shared" si="115"/>
        <v>31.280593769244987</v>
      </c>
      <c r="Y481" s="313">
        <f t="shared" si="115"/>
        <v>31.312485363014229</v>
      </c>
      <c r="Z481" s="31"/>
      <c r="AA481" s="444"/>
      <c r="AB481" s="444"/>
      <c r="AC481" s="444"/>
      <c r="AD481" s="444"/>
      <c r="AE481" s="444"/>
      <c r="AF481" s="444"/>
      <c r="AG481" s="444"/>
      <c r="AH481" s="444"/>
      <c r="AI481" s="444"/>
      <c r="AJ481" s="444"/>
      <c r="AK481" s="444"/>
      <c r="AL481" s="444"/>
      <c r="AM481" s="444"/>
      <c r="AN481" s="362"/>
      <c r="AO481" s="363"/>
    </row>
    <row r="482" spans="1:41" ht="21" x14ac:dyDescent="0.2">
      <c r="A482" s="260" t="s">
        <v>1084</v>
      </c>
      <c r="B482" s="409" t="s">
        <v>837</v>
      </c>
      <c r="C482" s="282">
        <v>1</v>
      </c>
      <c r="D482" s="293"/>
      <c r="E482" s="293"/>
      <c r="F482" s="293"/>
      <c r="G482" s="294" t="s">
        <v>705</v>
      </c>
      <c r="H482" s="280"/>
      <c r="I482" s="280"/>
      <c r="J482" s="280"/>
      <c r="K482" s="280"/>
      <c r="L482" s="511">
        <v>24.902000000000001</v>
      </c>
      <c r="M482" s="511">
        <v>23.11</v>
      </c>
      <c r="N482" s="511">
        <v>24.152999999999999</v>
      </c>
      <c r="O482" s="511">
        <v>24.297000000000001</v>
      </c>
      <c r="P482" s="511">
        <v>23.777999999999999</v>
      </c>
      <c r="Q482" s="511">
        <v>22.652999999999999</v>
      </c>
      <c r="R482" s="545">
        <v>21.913</v>
      </c>
      <c r="S482" s="545">
        <v>21.686</v>
      </c>
      <c r="T482" s="545">
        <v>21.530999999999999</v>
      </c>
      <c r="U482" s="546">
        <f>T482*1.001</f>
        <v>21.552530999999995</v>
      </c>
      <c r="V482" s="545">
        <v>21.361000000000001</v>
      </c>
      <c r="W482" s="546">
        <f>V482*1.001</f>
        <v>21.382361</v>
      </c>
      <c r="X482" s="545">
        <v>21.202000000000002</v>
      </c>
      <c r="Y482" s="546">
        <f>X482*1.001</f>
        <v>21.223202000000001</v>
      </c>
      <c r="Z482" s="421" t="s">
        <v>951</v>
      </c>
      <c r="AN482" s="316">
        <f>Q500-P500</f>
        <v>1.5661759999999987</v>
      </c>
      <c r="AO482" s="323">
        <f>Q500/P500-100%</f>
        <v>9.0302398896750846E-2</v>
      </c>
    </row>
    <row r="483" spans="1:41" ht="21" hidden="1" customHeight="1" x14ac:dyDescent="0.2">
      <c r="A483" s="260" t="s">
        <v>1085</v>
      </c>
      <c r="B483" s="409" t="s">
        <v>1086</v>
      </c>
      <c r="C483" s="282"/>
      <c r="D483" s="293"/>
      <c r="E483" s="293"/>
      <c r="F483" s="293"/>
      <c r="G483" s="294"/>
      <c r="H483" s="280"/>
      <c r="I483" s="280"/>
      <c r="J483" s="280"/>
      <c r="K483" s="280"/>
      <c r="L483" s="547"/>
      <c r="M483" s="547"/>
      <c r="N483" s="547"/>
      <c r="O483" s="547"/>
      <c r="P483" s="547"/>
      <c r="Q483" s="547"/>
      <c r="R483" s="547"/>
      <c r="S483" s="548"/>
      <c r="T483" s="548"/>
      <c r="U483" s="548"/>
      <c r="V483" s="548"/>
      <c r="W483" s="548"/>
      <c r="X483" s="548"/>
      <c r="Y483" s="548"/>
      <c r="Z483" s="271"/>
      <c r="AN483" s="316"/>
      <c r="AO483" s="323"/>
    </row>
    <row r="484" spans="1:41" ht="21" hidden="1" customHeight="1" x14ac:dyDescent="0.2">
      <c r="A484" s="260" t="s">
        <v>1085</v>
      </c>
      <c r="B484" s="409" t="s">
        <v>898</v>
      </c>
      <c r="C484" s="282"/>
      <c r="D484" s="293"/>
      <c r="E484" s="293"/>
      <c r="F484" s="293"/>
      <c r="G484" s="294"/>
      <c r="H484" s="280"/>
      <c r="I484" s="280"/>
      <c r="J484" s="280"/>
      <c r="K484" s="280"/>
      <c r="L484" s="547"/>
      <c r="M484" s="547"/>
      <c r="N484" s="547"/>
      <c r="O484" s="547"/>
      <c r="P484" s="547"/>
      <c r="Q484" s="547"/>
      <c r="R484" s="547"/>
      <c r="S484" s="548"/>
      <c r="T484" s="548"/>
      <c r="U484" s="548"/>
      <c r="V484" s="548"/>
      <c r="W484" s="548"/>
      <c r="X484" s="548"/>
      <c r="Y484" s="548"/>
      <c r="Z484" s="271"/>
      <c r="AN484" s="316"/>
      <c r="AO484" s="323"/>
    </row>
    <row r="485" spans="1:41" ht="31.5" x14ac:dyDescent="0.2">
      <c r="A485" s="264" t="s">
        <v>182</v>
      </c>
      <c r="B485" s="261" t="s">
        <v>322</v>
      </c>
      <c r="C485" s="282">
        <v>1</v>
      </c>
      <c r="D485" s="293"/>
      <c r="E485" s="293"/>
      <c r="F485" s="293"/>
      <c r="G485" s="294" t="s">
        <v>705</v>
      </c>
      <c r="H485" s="280"/>
      <c r="I485" s="280"/>
      <c r="J485" s="280"/>
      <c r="K485" s="280"/>
      <c r="L485" s="281"/>
      <c r="M485" s="281"/>
      <c r="N485" s="281"/>
      <c r="O485" s="281"/>
      <c r="P485" s="313"/>
      <c r="Q485" s="313"/>
      <c r="R485" s="313"/>
      <c r="S485" s="313"/>
      <c r="T485" s="313"/>
      <c r="U485" s="313"/>
      <c r="V485" s="313"/>
      <c r="W485" s="313"/>
      <c r="X485" s="313"/>
      <c r="Y485" s="313"/>
      <c r="AN485" s="316" t="e">
        <f>#REF!-#REF!</f>
        <v>#REF!</v>
      </c>
      <c r="AO485" s="323" t="e">
        <f>#REF!/#REF!-100%</f>
        <v>#REF!</v>
      </c>
    </row>
    <row r="486" spans="1:41" ht="27" x14ac:dyDescent="0.2">
      <c r="A486" s="412" t="s">
        <v>203</v>
      </c>
      <c r="B486" s="261" t="s">
        <v>837</v>
      </c>
      <c r="C486" s="282">
        <v>1</v>
      </c>
      <c r="D486" s="293"/>
      <c r="E486" s="293"/>
      <c r="F486" s="293"/>
      <c r="G486" s="294" t="s">
        <v>705</v>
      </c>
      <c r="H486" s="280"/>
      <c r="I486" s="280"/>
      <c r="J486" s="280"/>
      <c r="K486" s="280"/>
      <c r="L486" s="358">
        <v>7.37</v>
      </c>
      <c r="M486" s="358">
        <v>7.3</v>
      </c>
      <c r="N486" s="358">
        <v>7.37</v>
      </c>
      <c r="O486" s="358">
        <f>N486/N$482*O$482</f>
        <v>7.4139398832443186</v>
      </c>
      <c r="P486" s="361">
        <f>Q486/Q$482*P$482</f>
        <v>10.24050536352801</v>
      </c>
      <c r="Q486" s="549">
        <f>3.458+1.66+1.798+2.84</f>
        <v>9.7560000000000002</v>
      </c>
      <c r="R486" s="361">
        <f t="shared" ref="R486:T490" si="116">Q486/Q$482*R$482</f>
        <v>9.437303138657132</v>
      </c>
      <c r="S486" s="361">
        <f t="shared" si="116"/>
        <v>9.3395407230830365</v>
      </c>
      <c r="T486" s="361">
        <f t="shared" si="116"/>
        <v>9.2727866507747319</v>
      </c>
      <c r="U486" s="361"/>
      <c r="V486" s="361">
        <f>T486/T$482*V$482</f>
        <v>9.1995725069527232</v>
      </c>
      <c r="W486" s="361"/>
      <c r="X486" s="361">
        <f>V486/V$482*X$482</f>
        <v>9.1310957489074323</v>
      </c>
      <c r="Y486" s="361"/>
      <c r="Z486" s="444"/>
      <c r="AN486" s="316">
        <f>Q492-P492</f>
        <v>-0.42000000000000015</v>
      </c>
      <c r="AO486" s="323">
        <f>Q492/P492-100%</f>
        <v>-0.19090909090909092</v>
      </c>
    </row>
    <row r="487" spans="1:41" ht="22.5" customHeight="1" x14ac:dyDescent="0.2">
      <c r="A487" s="412" t="s">
        <v>1087</v>
      </c>
      <c r="B487" s="261" t="s">
        <v>837</v>
      </c>
      <c r="C487" s="282">
        <v>1</v>
      </c>
      <c r="D487" s="293"/>
      <c r="E487" s="293"/>
      <c r="F487" s="293"/>
      <c r="G487" s="294" t="s">
        <v>705</v>
      </c>
      <c r="H487" s="280"/>
      <c r="I487" s="280"/>
      <c r="J487" s="280"/>
      <c r="K487" s="280"/>
      <c r="L487" s="358">
        <v>0.1</v>
      </c>
      <c r="M487" s="358">
        <v>0.1</v>
      </c>
      <c r="N487" s="358">
        <v>0.1</v>
      </c>
      <c r="O487" s="358">
        <f>N487/N$482*O$482</f>
        <v>0.10059619922990934</v>
      </c>
      <c r="P487" s="361">
        <f>Q487/Q$482*P$482</f>
        <v>0.10601589193484307</v>
      </c>
      <c r="Q487" s="549">
        <v>0.10100000000000001</v>
      </c>
      <c r="R487" s="361">
        <f t="shared" si="116"/>
        <v>9.7700657749525452E-2</v>
      </c>
      <c r="S487" s="361">
        <f t="shared" si="116"/>
        <v>9.6688562221339341E-2</v>
      </c>
      <c r="T487" s="361">
        <f t="shared" si="116"/>
        <v>9.5997483776983181E-2</v>
      </c>
      <c r="U487" s="361"/>
      <c r="V487" s="361">
        <f>T487/T$482*V$482</f>
        <v>9.5239526773495786E-2</v>
      </c>
      <c r="W487" s="361"/>
      <c r="X487" s="361">
        <f>V487/V$482*X$482</f>
        <v>9.4530614046704639E-2</v>
      </c>
      <c r="Y487" s="361"/>
      <c r="Z487" s="444"/>
      <c r="AN487" s="316">
        <f>Q493-P493</f>
        <v>-5.0806810000000038</v>
      </c>
      <c r="AO487" s="323">
        <f>Q493/P493-100%</f>
        <v>-0.33468070371810088</v>
      </c>
    </row>
    <row r="488" spans="1:41" x14ac:dyDescent="0.2">
      <c r="A488" s="412" t="s">
        <v>1088</v>
      </c>
      <c r="B488" s="261" t="s">
        <v>837</v>
      </c>
      <c r="C488" s="282">
        <v>1</v>
      </c>
      <c r="D488" s="293"/>
      <c r="E488" s="314"/>
      <c r="F488" s="293"/>
      <c r="G488" s="294" t="s">
        <v>705</v>
      </c>
      <c r="H488" s="280"/>
      <c r="I488" s="280"/>
      <c r="J488" s="280"/>
      <c r="K488" s="280"/>
      <c r="L488" s="358">
        <v>1.21</v>
      </c>
      <c r="M488" s="358">
        <v>1.2</v>
      </c>
      <c r="N488" s="358">
        <v>1.21</v>
      </c>
      <c r="O488" s="358">
        <f>N488/N$482*O$482</f>
        <v>1.2172140106819029</v>
      </c>
      <c r="P488" s="361">
        <f>Q488/Q$482*P$482</f>
        <v>1.1525292014302744</v>
      </c>
      <c r="Q488" s="549">
        <v>1.0980000000000001</v>
      </c>
      <c r="R488" s="361">
        <f t="shared" si="116"/>
        <v>1.0621319030591976</v>
      </c>
      <c r="S488" s="361">
        <f t="shared" si="116"/>
        <v>1.0511291219706</v>
      </c>
      <c r="T488" s="361">
        <f t="shared" si="116"/>
        <v>1.04361620977354</v>
      </c>
      <c r="U488" s="361"/>
      <c r="V488" s="361">
        <f>T488/T$482*V$482</f>
        <v>1.0353762415574097</v>
      </c>
      <c r="W488" s="361"/>
      <c r="X488" s="361">
        <f>V488/V$482*X$482</f>
        <v>1.0276694477552644</v>
      </c>
      <c r="Y488" s="361"/>
      <c r="Z488" s="444"/>
      <c r="AN488" s="316">
        <f>Q494-P494</f>
        <v>-0.16600000000000004</v>
      </c>
      <c r="AO488" s="323">
        <f>Q494/P494-100%</f>
        <v>-0.21119592875318072</v>
      </c>
    </row>
    <row r="489" spans="1:41" ht="18" x14ac:dyDescent="0.2">
      <c r="A489" s="412" t="s">
        <v>1089</v>
      </c>
      <c r="B489" s="261" t="s">
        <v>837</v>
      </c>
      <c r="C489" s="282">
        <v>1</v>
      </c>
      <c r="D489" s="293"/>
      <c r="E489" s="293"/>
      <c r="F489" s="293"/>
      <c r="G489" s="294" t="s">
        <v>705</v>
      </c>
      <c r="H489" s="280"/>
      <c r="I489" s="280"/>
      <c r="J489" s="280"/>
      <c r="K489" s="280"/>
      <c r="L489" s="358">
        <v>5.05</v>
      </c>
      <c r="M489" s="358">
        <v>5</v>
      </c>
      <c r="N489" s="358">
        <v>5.05</v>
      </c>
      <c r="O489" s="358">
        <f>N489/N$482*O$482</f>
        <v>5.0801080611104208</v>
      </c>
      <c r="P489" s="361">
        <f>Q489/Q$482*P$482</f>
        <v>5.1706364719904654</v>
      </c>
      <c r="Q489" s="549">
        <v>4.9260000000000002</v>
      </c>
      <c r="R489" s="361">
        <f t="shared" si="116"/>
        <v>4.7650835650907171</v>
      </c>
      <c r="S489" s="361">
        <f t="shared" si="116"/>
        <v>4.7157213614090852</v>
      </c>
      <c r="T489" s="361">
        <f t="shared" si="116"/>
        <v>4.6820158919348431</v>
      </c>
      <c r="U489" s="361"/>
      <c r="V489" s="361">
        <f>T489/T$482*V$482</f>
        <v>4.6450486028340618</v>
      </c>
      <c r="W489" s="361"/>
      <c r="X489" s="361">
        <f>V489/V$482*X$482</f>
        <v>4.6104733147927428</v>
      </c>
      <c r="Y489" s="361"/>
      <c r="Z489" s="444"/>
      <c r="AN489" s="316">
        <f>Q495-P495</f>
        <v>-2.0499999999999998</v>
      </c>
      <c r="AO489" s="323">
        <f>Q495/P495-100%</f>
        <v>-0.7068965517241379</v>
      </c>
    </row>
    <row r="490" spans="1:41" x14ac:dyDescent="0.2">
      <c r="A490" s="412" t="s">
        <v>1090</v>
      </c>
      <c r="B490" s="261" t="s">
        <v>837</v>
      </c>
      <c r="C490" s="282">
        <v>1</v>
      </c>
      <c r="D490" s="293"/>
      <c r="E490" s="293"/>
      <c r="F490" s="293"/>
      <c r="G490" s="294" t="s">
        <v>705</v>
      </c>
      <c r="H490" s="280"/>
      <c r="I490" s="280"/>
      <c r="J490" s="280"/>
      <c r="K490" s="280"/>
      <c r="L490" s="358">
        <v>6.66</v>
      </c>
      <c r="M490" s="358">
        <f>M482-M486-M487-M488-M489</f>
        <v>9.51</v>
      </c>
      <c r="N490" s="358">
        <f>N482-N486-N487-N488-N489</f>
        <v>10.422999999999995</v>
      </c>
      <c r="O490" s="358">
        <f>O482-O486-O487-O488-O489</f>
        <v>10.48514184573345</v>
      </c>
      <c r="P490" s="361">
        <f>Q490/Q$482*P$482</f>
        <v>5.829824394119985</v>
      </c>
      <c r="Q490" s="549">
        <v>5.5540000000000003</v>
      </c>
      <c r="R490" s="361">
        <f t="shared" si="116"/>
        <v>5.3725688429788558</v>
      </c>
      <c r="S490" s="361">
        <f t="shared" si="116"/>
        <v>5.3169136096764236</v>
      </c>
      <c r="T490" s="361">
        <f t="shared" si="116"/>
        <v>5.2789111375976701</v>
      </c>
      <c r="U490" s="361"/>
      <c r="V490" s="361">
        <f>T490/T$482*V$482</f>
        <v>5.2372310069306511</v>
      </c>
      <c r="W490" s="361"/>
      <c r="X490" s="361">
        <f>V490/V$482*X$482</f>
        <v>5.1982478258950264</v>
      </c>
      <c r="Y490" s="361"/>
      <c r="Z490" s="444"/>
      <c r="AN490" s="316">
        <f>Q496-P496</f>
        <v>-0.72499999999999787</v>
      </c>
      <c r="AO490" s="323">
        <f>Q496/P496-100%</f>
        <v>-3.380426166829853E-2</v>
      </c>
    </row>
    <row r="491" spans="1:41" s="266" customFormat="1" hidden="1" x14ac:dyDescent="0.2">
      <c r="A491" s="260" t="s">
        <v>1091</v>
      </c>
      <c r="B491" s="261" t="s">
        <v>469</v>
      </c>
      <c r="C491" s="295"/>
      <c r="D491" s="550"/>
      <c r="E491" s="550"/>
      <c r="F491" s="550"/>
      <c r="G491" s="297"/>
      <c r="H491" s="298"/>
      <c r="I491" s="298"/>
      <c r="J491" s="298"/>
      <c r="K491" s="298"/>
      <c r="L491" s="281"/>
      <c r="M491" s="281"/>
      <c r="N491" s="281"/>
      <c r="O491" s="281"/>
      <c r="P491" s="313"/>
      <c r="Q491" s="313"/>
      <c r="R491" s="313"/>
      <c r="S491" s="313"/>
      <c r="T491" s="313"/>
      <c r="U491" s="313"/>
      <c r="V491" s="313"/>
      <c r="W491" s="313"/>
      <c r="X491" s="313"/>
      <c r="Y491" s="313"/>
      <c r="Z491" s="551"/>
      <c r="AN491" s="316"/>
      <c r="AO491" s="323"/>
    </row>
    <row r="492" spans="1:41" ht="21" x14ac:dyDescent="0.2">
      <c r="A492" s="260" t="s">
        <v>1092</v>
      </c>
      <c r="B492" s="261" t="s">
        <v>469</v>
      </c>
      <c r="C492" s="282">
        <v>1</v>
      </c>
      <c r="D492" s="293"/>
      <c r="E492" s="314"/>
      <c r="F492" s="293"/>
      <c r="G492" s="294" t="s">
        <v>705</v>
      </c>
      <c r="H492" s="280"/>
      <c r="I492" s="280"/>
      <c r="J492" s="280"/>
      <c r="K492" s="280"/>
      <c r="L492" s="281">
        <v>2.65</v>
      </c>
      <c r="M492" s="281">
        <v>3.4</v>
      </c>
      <c r="N492" s="281">
        <v>2.6360000000000001</v>
      </c>
      <c r="O492" s="281">
        <v>2.8</v>
      </c>
      <c r="P492" s="313">
        <v>2.2000000000000002</v>
      </c>
      <c r="Q492" s="328">
        <v>1.78</v>
      </c>
      <c r="R492" s="328">
        <v>1.72</v>
      </c>
      <c r="S492" s="328">
        <v>2.2000000000000002</v>
      </c>
      <c r="T492" s="328">
        <v>2.14</v>
      </c>
      <c r="U492" s="328">
        <f>T492*0.99</f>
        <v>2.1186000000000003</v>
      </c>
      <c r="V492" s="328">
        <v>2.17</v>
      </c>
      <c r="W492" s="328">
        <f>V492*0.99</f>
        <v>2.1482999999999999</v>
      </c>
      <c r="X492" s="328">
        <v>2.0299999999999998</v>
      </c>
      <c r="Y492" s="328">
        <f>X492*0.99</f>
        <v>2.0096999999999996</v>
      </c>
      <c r="AN492" s="316" t="e">
        <f>#REF!-#REF!</f>
        <v>#REF!</v>
      </c>
      <c r="AO492" s="323" t="e">
        <f>#REF!/#REF!-100%</f>
        <v>#REF!</v>
      </c>
    </row>
    <row r="493" spans="1:41" ht="21" x14ac:dyDescent="0.2">
      <c r="A493" s="260" t="s">
        <v>279</v>
      </c>
      <c r="B493" s="261" t="s">
        <v>837</v>
      </c>
      <c r="C493" s="282">
        <v>1</v>
      </c>
      <c r="D493" s="293"/>
      <c r="E493" s="293"/>
      <c r="F493" s="293"/>
      <c r="G493" s="294" t="s">
        <v>705</v>
      </c>
      <c r="H493" s="280"/>
      <c r="I493" s="280"/>
      <c r="J493" s="280"/>
      <c r="K493" s="280"/>
      <c r="L493" s="281">
        <v>5.5</v>
      </c>
      <c r="M493" s="281">
        <v>5.6</v>
      </c>
      <c r="N493" s="281">
        <v>5.5</v>
      </c>
      <c r="O493" s="281">
        <v>9.6</v>
      </c>
      <c r="P493" s="313">
        <f>P500-2.774+0.611</f>
        <v>15.180681000000003</v>
      </c>
      <c r="Q493" s="328">
        <v>10.1</v>
      </c>
      <c r="R493" s="328">
        <v>9.5</v>
      </c>
      <c r="S493" s="328">
        <v>10.5</v>
      </c>
      <c r="T493" s="313">
        <f>AVERAGE(Q493,R493,S493)</f>
        <v>10.033333333333333</v>
      </c>
      <c r="U493" s="313">
        <f>T493*0.99</f>
        <v>9.9329999999999998</v>
      </c>
      <c r="V493" s="313">
        <f>AVERAGE(R493,S493,T493)</f>
        <v>10.011111111111111</v>
      </c>
      <c r="W493" s="313">
        <f>V493*0.99</f>
        <v>9.9109999999999996</v>
      </c>
      <c r="X493" s="313">
        <f>AVERAGE(S493,T493,V493)</f>
        <v>10.181481481481482</v>
      </c>
      <c r="Y493" s="313">
        <f>X493*0.99</f>
        <v>10.079666666666666</v>
      </c>
      <c r="AN493" s="316">
        <f>Q505-P505</f>
        <v>0</v>
      </c>
      <c r="AO493" s="323" t="e">
        <f>Q505/P505-100%</f>
        <v>#DIV/0!</v>
      </c>
    </row>
    <row r="494" spans="1:41" s="266" customFormat="1" ht="42" x14ac:dyDescent="0.2">
      <c r="A494" s="260" t="s">
        <v>278</v>
      </c>
      <c r="B494" s="261" t="s">
        <v>837</v>
      </c>
      <c r="C494" s="295"/>
      <c r="D494" s="296"/>
      <c r="E494" s="296"/>
      <c r="F494" s="296"/>
      <c r="G494" s="297"/>
      <c r="H494" s="298"/>
      <c r="I494" s="298"/>
      <c r="J494" s="298"/>
      <c r="K494" s="298"/>
      <c r="L494" s="513">
        <v>1.02</v>
      </c>
      <c r="M494" s="513">
        <v>1.2509999999999999</v>
      </c>
      <c r="N494" s="513">
        <v>1.0229999999999999</v>
      </c>
      <c r="O494" s="513">
        <v>0.90200000000000002</v>
      </c>
      <c r="P494" s="513">
        <v>0.78600000000000003</v>
      </c>
      <c r="Q494" s="511">
        <v>0.62</v>
      </c>
      <c r="R494" s="511">
        <v>0.629</v>
      </c>
      <c r="S494" s="511">
        <v>0.75</v>
      </c>
      <c r="T494" s="511">
        <v>0.76</v>
      </c>
      <c r="U494" s="511">
        <f>T494*0.99</f>
        <v>0.75239999999999996</v>
      </c>
      <c r="V494" s="511">
        <v>0.77</v>
      </c>
      <c r="W494" s="511">
        <f>V494*0.99</f>
        <v>0.76229999999999998</v>
      </c>
      <c r="X494" s="511">
        <v>0.72</v>
      </c>
      <c r="Y494" s="511">
        <f>X494*0.99</f>
        <v>0.71279999999999999</v>
      </c>
      <c r="Z494" s="31"/>
      <c r="AN494" s="316" t="e">
        <f>#REF!-#REF!</f>
        <v>#REF!</v>
      </c>
      <c r="AO494" s="323" t="e">
        <f>#REF!/#REF!-100%</f>
        <v>#REF!</v>
      </c>
    </row>
    <row r="495" spans="1:41" ht="52.5" x14ac:dyDescent="0.2">
      <c r="A495" s="260" t="s">
        <v>1094</v>
      </c>
      <c r="B495" s="261" t="s">
        <v>483</v>
      </c>
      <c r="C495" s="282"/>
      <c r="D495" s="293"/>
      <c r="E495" s="293"/>
      <c r="F495" s="293"/>
      <c r="G495" s="294"/>
      <c r="H495" s="280"/>
      <c r="I495" s="280"/>
      <c r="J495" s="280"/>
      <c r="K495" s="280"/>
      <c r="L495" s="281">
        <v>3.2</v>
      </c>
      <c r="M495" s="281">
        <f>M494/0.266</f>
        <v>4.7030075187969915</v>
      </c>
      <c r="N495" s="281">
        <f>N494/0.317</f>
        <v>3.2271293375394317</v>
      </c>
      <c r="O495" s="281">
        <v>1.3</v>
      </c>
      <c r="P495" s="313">
        <v>2.9</v>
      </c>
      <c r="Q495" s="328">
        <v>0.85</v>
      </c>
      <c r="R495" s="328">
        <v>1.1599999999999999</v>
      </c>
      <c r="S495" s="328">
        <v>1.7</v>
      </c>
      <c r="T495" s="328">
        <v>1.8</v>
      </c>
      <c r="U495" s="328">
        <f>T495*1.001</f>
        <v>1.8017999999999998</v>
      </c>
      <c r="V495" s="328">
        <v>1.9</v>
      </c>
      <c r="W495" s="328">
        <f>V495*1.001</f>
        <v>1.9018999999999997</v>
      </c>
      <c r="X495" s="328">
        <v>1.2</v>
      </c>
      <c r="Y495" s="328">
        <f>X495*1.001</f>
        <v>1.2011999999999998</v>
      </c>
      <c r="AN495" s="316">
        <f>Q506-P506</f>
        <v>-3.0960000000000001</v>
      </c>
      <c r="AO495" s="323">
        <f>Q506/P506-100%</f>
        <v>-0.9105882352941177</v>
      </c>
    </row>
    <row r="496" spans="1:41" ht="21" x14ac:dyDescent="0.2">
      <c r="A496" s="260" t="s">
        <v>1093</v>
      </c>
      <c r="B496" s="261" t="s">
        <v>837</v>
      </c>
      <c r="C496" s="282"/>
      <c r="D496" s="293"/>
      <c r="E496" s="293"/>
      <c r="F496" s="293"/>
      <c r="G496" s="294"/>
      <c r="H496" s="280"/>
      <c r="I496" s="280"/>
      <c r="J496" s="280"/>
      <c r="K496" s="280"/>
      <c r="L496" s="445">
        <v>22.053999999999998</v>
      </c>
      <c r="M496" s="445">
        <v>20.591000000000001</v>
      </c>
      <c r="N496" s="445">
        <v>21.539000000000001</v>
      </c>
      <c r="O496" s="445">
        <v>21.718</v>
      </c>
      <c r="P496" s="445">
        <v>21.446999999999999</v>
      </c>
      <c r="Q496" s="445">
        <v>20.722000000000001</v>
      </c>
      <c r="R496" s="445">
        <v>19.945</v>
      </c>
      <c r="S496" s="445">
        <v>19.731999999999999</v>
      </c>
      <c r="T496" s="445">
        <v>19.568999999999999</v>
      </c>
      <c r="U496" s="445">
        <f>T496*1.001</f>
        <v>19.588568999999996</v>
      </c>
      <c r="V496" s="445">
        <v>19.390999999999998</v>
      </c>
      <c r="W496" s="445">
        <f>V496*1.001</f>
        <v>19.410390999999997</v>
      </c>
      <c r="X496" s="445">
        <v>19.224</v>
      </c>
      <c r="Y496" s="445">
        <f>X496*1.001</f>
        <v>19.243223999999998</v>
      </c>
      <c r="Z496" s="271" t="s">
        <v>244</v>
      </c>
      <c r="AN496" s="316">
        <f>Q507-P507</f>
        <v>-0.13200000000000001</v>
      </c>
      <c r="AO496" s="323">
        <f>Q507/P507-100%</f>
        <v>-0.16879795396419439</v>
      </c>
    </row>
    <row r="497" spans="1:41" ht="21" x14ac:dyDescent="0.2">
      <c r="A497" s="260" t="s">
        <v>14</v>
      </c>
      <c r="B497" s="261" t="s">
        <v>578</v>
      </c>
      <c r="C497" s="282"/>
      <c r="D497" s="293"/>
      <c r="E497" s="293"/>
      <c r="F497" s="293"/>
      <c r="G497" s="294"/>
      <c r="H497" s="280"/>
      <c r="I497" s="280"/>
      <c r="J497" s="280"/>
      <c r="K497" s="280"/>
      <c r="L497" s="313">
        <v>5660.7</v>
      </c>
      <c r="M497" s="313">
        <f t="shared" ref="M497:T497" si="117">M458</f>
        <v>4878.0970760656382</v>
      </c>
      <c r="N497" s="313">
        <f t="shared" si="117"/>
        <v>5601.3054135652164</v>
      </c>
      <c r="O497" s="313">
        <f t="shared" si="117"/>
        <v>6558.5007666729816</v>
      </c>
      <c r="P497" s="313">
        <f t="shared" si="117"/>
        <v>6976.259900680504</v>
      </c>
      <c r="Q497" s="313">
        <f t="shared" si="117"/>
        <v>7491.2209695866104</v>
      </c>
      <c r="R497" s="313">
        <f t="shared" si="117"/>
        <v>7993.8428409668468</v>
      </c>
      <c r="S497" s="313">
        <f t="shared" si="117"/>
        <v>8085.9</v>
      </c>
      <c r="T497" s="313">
        <f t="shared" si="117"/>
        <v>8187.4</v>
      </c>
      <c r="U497" s="313">
        <f>T497*1.01</f>
        <v>8269.2739999999994</v>
      </c>
      <c r="V497" s="313">
        <f>V458</f>
        <v>8351.2000000000007</v>
      </c>
      <c r="W497" s="313">
        <f>V497*1.01</f>
        <v>8434.7120000000014</v>
      </c>
      <c r="X497" s="313">
        <f>X458</f>
        <v>8518.2000000000007</v>
      </c>
      <c r="Y497" s="313">
        <f>X497*1.01</f>
        <v>8603.3820000000014</v>
      </c>
      <c r="AN497" s="316">
        <f>Q509-P509</f>
        <v>-1.0000000000000009E-2</v>
      </c>
      <c r="AO497" s="323">
        <f>Q509/P509-100%</f>
        <v>-1.8691588785046731E-2</v>
      </c>
    </row>
    <row r="498" spans="1:41" s="266" customFormat="1" x14ac:dyDescent="0.2">
      <c r="A498" s="260" t="s">
        <v>326</v>
      </c>
      <c r="B498" s="261" t="s">
        <v>578</v>
      </c>
      <c r="C498" s="295"/>
      <c r="D498" s="296"/>
      <c r="E498" s="296"/>
      <c r="F498" s="296"/>
      <c r="G498" s="297"/>
      <c r="H498" s="298"/>
      <c r="I498" s="298"/>
      <c r="J498" s="298"/>
      <c r="K498" s="298"/>
      <c r="L498" s="539"/>
      <c r="M498" s="539">
        <f>M458*0.06</f>
        <v>292.6858245639383</v>
      </c>
      <c r="N498" s="539">
        <v>338.5</v>
      </c>
      <c r="O498" s="539">
        <v>454.9</v>
      </c>
      <c r="P498" s="540">
        <v>552.70000000000005</v>
      </c>
      <c r="Q498" s="540">
        <v>589.6</v>
      </c>
      <c r="R498" s="540">
        <v>115.123</v>
      </c>
      <c r="S498" s="313">
        <f>R498*S213/100</f>
        <v>130.66460500000002</v>
      </c>
      <c r="T498" s="313">
        <f>S498*T213/100</f>
        <v>139.54979814000001</v>
      </c>
      <c r="U498" s="313">
        <f>T498*1.01</f>
        <v>140.94529612140002</v>
      </c>
      <c r="V498" s="313">
        <f>T498*V213/100</f>
        <v>148.34143542281998</v>
      </c>
      <c r="W498" s="313">
        <f>V498*1.01</f>
        <v>149.82484977704817</v>
      </c>
      <c r="X498" s="313">
        <f>V498*X213/100</f>
        <v>156.50021437107509</v>
      </c>
      <c r="Y498" s="313">
        <f>X498*1.01</f>
        <v>158.06521651478585</v>
      </c>
      <c r="Z498" s="31"/>
      <c r="AN498" s="316">
        <f>Q511-P511</f>
        <v>0</v>
      </c>
      <c r="AO498" s="323" t="e">
        <f>Q511/P511-100%</f>
        <v>#DIV/0!</v>
      </c>
    </row>
    <row r="499" spans="1:41" ht="42" x14ac:dyDescent="0.2">
      <c r="A499" s="260" t="s">
        <v>1095</v>
      </c>
      <c r="B499" s="261" t="s">
        <v>1096</v>
      </c>
      <c r="C499" s="282">
        <v>1</v>
      </c>
      <c r="D499" s="293"/>
      <c r="E499" s="293"/>
      <c r="F499" s="293"/>
      <c r="G499" s="294" t="s">
        <v>705</v>
      </c>
      <c r="H499" s="280"/>
      <c r="I499" s="280"/>
      <c r="J499" s="280"/>
      <c r="K499" s="280"/>
      <c r="L499" s="539"/>
      <c r="M499" s="552">
        <v>189</v>
      </c>
      <c r="N499" s="552">
        <v>0</v>
      </c>
      <c r="O499" s="552">
        <v>0</v>
      </c>
      <c r="P499" s="540">
        <v>166.1</v>
      </c>
      <c r="Q499" s="540">
        <v>0</v>
      </c>
      <c r="R499" s="540">
        <v>0</v>
      </c>
      <c r="S499" s="313">
        <v>0</v>
      </c>
      <c r="T499" s="313">
        <v>0</v>
      </c>
      <c r="U499" s="313">
        <v>0</v>
      </c>
      <c r="V499" s="313">
        <v>0</v>
      </c>
      <c r="W499" s="313">
        <v>0</v>
      </c>
      <c r="X499" s="313">
        <v>0</v>
      </c>
      <c r="Y499" s="313">
        <v>0</v>
      </c>
      <c r="AN499" s="316">
        <f>Q512-P512</f>
        <v>-0.06</v>
      </c>
      <c r="AO499" s="323">
        <f>Q512/P512-100%</f>
        <v>-0.17341040462427748</v>
      </c>
    </row>
    <row r="500" spans="1:41" s="266" customFormat="1" ht="31.5" x14ac:dyDescent="0.2">
      <c r="A500" s="260" t="s">
        <v>563</v>
      </c>
      <c r="B500" s="261" t="s">
        <v>837</v>
      </c>
      <c r="C500" s="295"/>
      <c r="D500" s="296"/>
      <c r="E500" s="296"/>
      <c r="F500" s="296"/>
      <c r="G500" s="297"/>
      <c r="H500" s="298"/>
      <c r="I500" s="298"/>
      <c r="J500" s="298"/>
      <c r="K500" s="298"/>
      <c r="L500" s="313">
        <f>L14-L482-L564-L502/1000-L504/1000-0.611-1.356-14.863</f>
        <v>17.154533999999998</v>
      </c>
      <c r="M500" s="313">
        <f>M14-M482-M564-M502/1000-M504/1000-0.611-1.356-14.863</f>
        <v>20.422852000000006</v>
      </c>
      <c r="N500" s="313">
        <f>N14-N482-N564-N502/1000-N504/1000-0.611-1.356-14.863</f>
        <v>18.91400500000001</v>
      </c>
      <c r="O500" s="313">
        <f>O14-O482-O564-O502/1000-O504/1000-0.611-1.356-14.863</f>
        <v>18.098260000000003</v>
      </c>
      <c r="P500" s="313">
        <f>P14-P482-P564-P502/1000-P504/1000-0.611-1.356-14.863</f>
        <v>17.343681000000004</v>
      </c>
      <c r="Q500" s="313">
        <f>Q14-Q482-Q564-Q502/1000-Q504/1000-0.611-1.57-14.055</f>
        <v>18.909857000000002</v>
      </c>
      <c r="R500" s="313">
        <f>R14-R482-R564-R502/1000-R504/1000-0.611-1.641-15.376</f>
        <v>17.257758000000003</v>
      </c>
      <c r="S500" s="313">
        <f>S14-S482-S564-S502/1000-S504/1000-0.611-1.598-16.049</f>
        <v>16.692527000000005</v>
      </c>
      <c r="T500" s="313">
        <f>T14-T482-T564-T502/1000-T504/1000-0.611-1.604-16.702</f>
        <v>16.005411999999996</v>
      </c>
      <c r="U500" s="313">
        <f>T500*0.99</f>
        <v>15.845357879999996</v>
      </c>
      <c r="V500" s="313">
        <f>V14-V482-V564-V502/1000-V504/1000-0.611-1.618-17.35</f>
        <v>15.379307999999988</v>
      </c>
      <c r="W500" s="313">
        <f>V500*0.99</f>
        <v>15.225514919999988</v>
      </c>
      <c r="X500" s="313">
        <f>X14-X482-X564-X502/1000-X504/1000-0.611-1.618-17.35</f>
        <v>15.410229999999991</v>
      </c>
      <c r="Y500" s="313">
        <f>X500*0.99</f>
        <v>15.256127699999992</v>
      </c>
      <c r="Z500" s="31"/>
      <c r="AN500" s="316">
        <f>Q503-P503</f>
        <v>-0.17600000000000016</v>
      </c>
      <c r="AO500" s="323">
        <f>Q503/P503-100%</f>
        <v>-2.785250830827668E-2</v>
      </c>
    </row>
    <row r="501" spans="1:41" ht="28.5" x14ac:dyDescent="0.2">
      <c r="A501" s="292" t="s">
        <v>229</v>
      </c>
      <c r="B501" s="261"/>
      <c r="C501" s="282">
        <v>1</v>
      </c>
      <c r="D501" s="293"/>
      <c r="E501" s="293"/>
      <c r="F501" s="293"/>
      <c r="G501" s="294" t="s">
        <v>705</v>
      </c>
      <c r="H501" s="280"/>
      <c r="I501" s="280"/>
      <c r="J501" s="280"/>
      <c r="K501" s="280"/>
      <c r="L501" s="281"/>
      <c r="M501" s="281"/>
      <c r="N501" s="281"/>
      <c r="O501" s="281"/>
      <c r="P501" s="313"/>
      <c r="Q501" s="313"/>
      <c r="R501" s="313"/>
      <c r="S501" s="313"/>
      <c r="T501" s="313"/>
      <c r="U501" s="313"/>
      <c r="V501" s="313"/>
      <c r="W501" s="313"/>
      <c r="X501" s="313"/>
      <c r="Y501" s="313"/>
      <c r="AN501" s="316">
        <f>Q513-P513</f>
        <v>-1.1999999999999997E-2</v>
      </c>
      <c r="AO501" s="323">
        <f>Q513/P513-100%</f>
        <v>-0.15584415584415579</v>
      </c>
    </row>
    <row r="502" spans="1:41" s="266" customFormat="1" ht="21" x14ac:dyDescent="0.2">
      <c r="A502" s="264" t="s">
        <v>230</v>
      </c>
      <c r="B502" s="265" t="s">
        <v>483</v>
      </c>
      <c r="C502" s="295">
        <v>1</v>
      </c>
      <c r="D502" s="296"/>
      <c r="E502" s="296"/>
      <c r="F502" s="296"/>
      <c r="G502" s="297" t="s">
        <v>705</v>
      </c>
      <c r="H502" s="298"/>
      <c r="I502" s="298"/>
      <c r="J502" s="298"/>
      <c r="K502" s="298"/>
      <c r="L502" s="553">
        <v>3011</v>
      </c>
      <c r="M502" s="553">
        <v>2831</v>
      </c>
      <c r="N502" s="553">
        <v>3132</v>
      </c>
      <c r="O502" s="553">
        <v>3307</v>
      </c>
      <c r="P502" s="553">
        <v>3509</v>
      </c>
      <c r="Q502" s="554">
        <v>3843</v>
      </c>
      <c r="R502" s="554">
        <v>4683</v>
      </c>
      <c r="S502" s="554">
        <v>4700</v>
      </c>
      <c r="T502" s="554">
        <v>4700</v>
      </c>
      <c r="U502" s="554">
        <f>T502</f>
        <v>4700</v>
      </c>
      <c r="V502" s="554">
        <v>4700</v>
      </c>
      <c r="W502" s="554">
        <f>V502</f>
        <v>4700</v>
      </c>
      <c r="X502" s="554">
        <v>4700</v>
      </c>
      <c r="Y502" s="554">
        <f t="shared" ref="Y502:Y507" si="118">X502</f>
        <v>4700</v>
      </c>
      <c r="AA502" s="413">
        <f>S503*(S566-100)/100</f>
        <v>-0.29128500000000002</v>
      </c>
      <c r="AB502" s="413">
        <f>T503*(T566-100)/100</f>
        <v>-0.26351999999999998</v>
      </c>
      <c r="AC502" s="413">
        <f>V503*(V566-100)/100</f>
        <v>-0.26768000000000003</v>
      </c>
      <c r="AD502" s="413">
        <f>X503*(X566-100)/100</f>
        <v>-0.27079999999999999</v>
      </c>
      <c r="AE502" s="266" t="s">
        <v>265</v>
      </c>
      <c r="AN502" s="316">
        <f>Q566-P566</f>
        <v>-2</v>
      </c>
      <c r="AO502" s="323">
        <f>Q566/P566-100%</f>
        <v>-2.1574973031283751E-2</v>
      </c>
    </row>
    <row r="503" spans="1:41" ht="52.5" x14ac:dyDescent="0.2">
      <c r="A503" s="264" t="s">
        <v>1097</v>
      </c>
      <c r="B503" s="265"/>
      <c r="C503" s="282">
        <v>1</v>
      </c>
      <c r="D503" s="293"/>
      <c r="E503" s="293"/>
      <c r="F503" s="293"/>
      <c r="G503" s="294" t="s">
        <v>705</v>
      </c>
      <c r="H503" s="280"/>
      <c r="I503" s="280"/>
      <c r="J503" s="280"/>
      <c r="K503" s="280"/>
      <c r="L503" s="408">
        <f t="shared" ref="L503:T503" si="119">L504+L505</f>
        <v>6.4660000000000002</v>
      </c>
      <c r="M503" s="408">
        <f t="shared" si="119"/>
        <v>6.375</v>
      </c>
      <c r="N503" s="408">
        <f t="shared" si="119"/>
        <v>6.319</v>
      </c>
      <c r="O503" s="408">
        <f t="shared" si="119"/>
        <v>6.3090000000000002</v>
      </c>
      <c r="P503" s="408">
        <f t="shared" si="119"/>
        <v>6.319</v>
      </c>
      <c r="Q503" s="408">
        <f t="shared" si="119"/>
        <v>6.1429999999999998</v>
      </c>
      <c r="R503" s="408">
        <f t="shared" si="119"/>
        <v>6.242</v>
      </c>
      <c r="S503" s="408">
        <f t="shared" si="119"/>
        <v>6.4729999999999999</v>
      </c>
      <c r="T503" s="408">
        <f t="shared" si="119"/>
        <v>6.5880000000000001</v>
      </c>
      <c r="U503" s="408">
        <f t="shared" ref="U503:W505" si="120">T503</f>
        <v>6.5880000000000001</v>
      </c>
      <c r="V503" s="408">
        <f>V504+V505</f>
        <v>6.6920000000000002</v>
      </c>
      <c r="W503" s="408">
        <f t="shared" si="120"/>
        <v>6.6920000000000002</v>
      </c>
      <c r="X503" s="408">
        <f>X504+X505</f>
        <v>6.77</v>
      </c>
      <c r="Y503" s="408">
        <f t="shared" si="118"/>
        <v>6.77</v>
      </c>
      <c r="Z503" s="266"/>
      <c r="AN503" s="316">
        <f>Q567-P567</f>
        <v>-2</v>
      </c>
      <c r="AO503" s="323">
        <f>Q567/P567-100%</f>
        <v>-2.1574973031283751E-2</v>
      </c>
    </row>
    <row r="504" spans="1:41" x14ac:dyDescent="0.2">
      <c r="A504" s="260" t="s">
        <v>1098</v>
      </c>
      <c r="B504" s="261" t="s">
        <v>1100</v>
      </c>
      <c r="C504" s="282">
        <v>1</v>
      </c>
      <c r="D504" s="293"/>
      <c r="E504" s="293"/>
      <c r="F504" s="293"/>
      <c r="G504" s="294" t="s">
        <v>705</v>
      </c>
      <c r="H504" s="280"/>
      <c r="I504" s="280"/>
      <c r="J504" s="280"/>
      <c r="K504" s="280"/>
      <c r="L504" s="540">
        <f>6466/1000</f>
        <v>6.4660000000000002</v>
      </c>
      <c r="M504" s="540">
        <f>6375/1000</f>
        <v>6.375</v>
      </c>
      <c r="N504" s="540">
        <f>6319/1000</f>
        <v>6.319</v>
      </c>
      <c r="O504" s="540">
        <f>6309/1000</f>
        <v>6.3090000000000002</v>
      </c>
      <c r="P504" s="540">
        <f>6319/1000</f>
        <v>6.319</v>
      </c>
      <c r="Q504" s="328">
        <v>6.1429999999999998</v>
      </c>
      <c r="R504" s="328">
        <v>6.242</v>
      </c>
      <c r="S504" s="328">
        <f>6473/1000</f>
        <v>6.4729999999999999</v>
      </c>
      <c r="T504" s="328">
        <f>6588/1000</f>
        <v>6.5880000000000001</v>
      </c>
      <c r="U504" s="328">
        <f t="shared" si="120"/>
        <v>6.5880000000000001</v>
      </c>
      <c r="V504" s="328">
        <f>6692/1000</f>
        <v>6.6920000000000002</v>
      </c>
      <c r="W504" s="328">
        <f t="shared" si="120"/>
        <v>6.6920000000000002</v>
      </c>
      <c r="X504" s="328">
        <f>6770/1000</f>
        <v>6.77</v>
      </c>
      <c r="Y504" s="328">
        <f t="shared" si="118"/>
        <v>6.77</v>
      </c>
      <c r="AN504" s="316">
        <f>Q568-P568</f>
        <v>0</v>
      </c>
      <c r="AO504" s="323" t="e">
        <f>Q568/P568-100%</f>
        <v>#DIV/0!</v>
      </c>
    </row>
    <row r="505" spans="1:41" s="266" customFormat="1" x14ac:dyDescent="0.2">
      <c r="A505" s="260" t="s">
        <v>280</v>
      </c>
      <c r="B505" s="261" t="s">
        <v>1100</v>
      </c>
      <c r="C505" s="295"/>
      <c r="D505" s="296"/>
      <c r="E505" s="296"/>
      <c r="F505" s="296"/>
      <c r="G505" s="297"/>
      <c r="H505" s="298"/>
      <c r="I505" s="298"/>
      <c r="J505" s="298"/>
      <c r="K505" s="298"/>
      <c r="L505" s="514">
        <v>0</v>
      </c>
      <c r="M505" s="514">
        <v>0</v>
      </c>
      <c r="N505" s="514">
        <v>0</v>
      </c>
      <c r="O505" s="514">
        <v>0</v>
      </c>
      <c r="P505" s="514">
        <v>0</v>
      </c>
      <c r="Q505" s="514">
        <v>0</v>
      </c>
      <c r="R505" s="514">
        <v>0</v>
      </c>
      <c r="S505" s="514">
        <v>0</v>
      </c>
      <c r="T505" s="514">
        <v>0</v>
      </c>
      <c r="U505" s="514">
        <f t="shared" si="120"/>
        <v>0</v>
      </c>
      <c r="V505" s="514">
        <v>0</v>
      </c>
      <c r="W505" s="514">
        <f t="shared" si="120"/>
        <v>0</v>
      </c>
      <c r="X505" s="514">
        <v>0</v>
      </c>
      <c r="Y505" s="514">
        <f t="shared" si="118"/>
        <v>0</v>
      </c>
      <c r="Z505" s="31"/>
      <c r="AN505" s="316">
        <f>Q514-P514</f>
        <v>0</v>
      </c>
      <c r="AO505" s="323" t="e">
        <f>Q514/P514-100%</f>
        <v>#DIV/0!</v>
      </c>
    </row>
    <row r="506" spans="1:41" ht="42" x14ac:dyDescent="0.2">
      <c r="A506" s="260" t="s">
        <v>1099</v>
      </c>
      <c r="B506" s="261" t="s">
        <v>1100</v>
      </c>
      <c r="C506" s="282"/>
      <c r="D506" s="293"/>
      <c r="E506" s="293"/>
      <c r="F506" s="293"/>
      <c r="G506" s="294"/>
      <c r="H506" s="280"/>
      <c r="I506" s="280"/>
      <c r="J506" s="280"/>
      <c r="K506" s="280"/>
      <c r="L506" s="540">
        <f>504/1000</f>
        <v>0.504</v>
      </c>
      <c r="M506" s="540">
        <f>411/1000</f>
        <v>0.41099999999999998</v>
      </c>
      <c r="N506" s="540">
        <f>393/1000</f>
        <v>0.39300000000000002</v>
      </c>
      <c r="O506" s="540">
        <f>375/1000</f>
        <v>0.375</v>
      </c>
      <c r="P506" s="540">
        <f>340/100</f>
        <v>3.4</v>
      </c>
      <c r="Q506" s="540">
        <f>304/1000</f>
        <v>0.30399999999999999</v>
      </c>
      <c r="R506" s="514">
        <v>0</v>
      </c>
      <c r="S506" s="514">
        <f>R506*0.95</f>
        <v>0</v>
      </c>
      <c r="T506" s="514">
        <f>S506*0.95</f>
        <v>0</v>
      </c>
      <c r="U506" s="514">
        <f t="shared" ref="U506:W509" si="121">T506</f>
        <v>0</v>
      </c>
      <c r="V506" s="514">
        <f>T506*0.95</f>
        <v>0</v>
      </c>
      <c r="W506" s="514">
        <f t="shared" si="121"/>
        <v>0</v>
      </c>
      <c r="X506" s="514">
        <f>V506*0.95</f>
        <v>0</v>
      </c>
      <c r="Y506" s="514">
        <f t="shared" si="118"/>
        <v>0</v>
      </c>
      <c r="AN506" s="316" t="e">
        <f>#REF!-#REF!</f>
        <v>#REF!</v>
      </c>
      <c r="AO506" s="323" t="e">
        <f>#REF!/#REF!-100%</f>
        <v>#REF!</v>
      </c>
    </row>
    <row r="507" spans="1:41" ht="31.5" x14ac:dyDescent="0.2">
      <c r="A507" s="260" t="s">
        <v>1101</v>
      </c>
      <c r="B507" s="261" t="s">
        <v>1100</v>
      </c>
      <c r="C507" s="282">
        <v>1</v>
      </c>
      <c r="D507" s="278"/>
      <c r="E507" s="278"/>
      <c r="F507" s="278"/>
      <c r="G507" s="294" t="s">
        <v>705</v>
      </c>
      <c r="H507" s="280"/>
      <c r="I507" s="280"/>
      <c r="J507" s="280"/>
      <c r="K507" s="280"/>
      <c r="L507" s="555">
        <f>1462/1000</f>
        <v>1.462</v>
      </c>
      <c r="M507" s="540">
        <f>1362/1000</f>
        <v>1.3620000000000001</v>
      </c>
      <c r="N507" s="540">
        <f>1283/1000</f>
        <v>1.2829999999999999</v>
      </c>
      <c r="O507" s="540">
        <f>1056/1000</f>
        <v>1.056</v>
      </c>
      <c r="P507" s="540">
        <f>782/1000</f>
        <v>0.78200000000000003</v>
      </c>
      <c r="Q507" s="540">
        <f>650/1000</f>
        <v>0.65</v>
      </c>
      <c r="R507" s="313">
        <f>Q506+Q507</f>
        <v>0.95399999999999996</v>
      </c>
      <c r="S507" s="313">
        <f>R506+R507</f>
        <v>0.95399999999999996</v>
      </c>
      <c r="T507" s="313">
        <f>S506+S507</f>
        <v>0.95399999999999996</v>
      </c>
      <c r="U507" s="313">
        <f t="shared" si="121"/>
        <v>0.95399999999999996</v>
      </c>
      <c r="V507" s="313">
        <f>T506+T507</f>
        <v>0.95399999999999996</v>
      </c>
      <c r="W507" s="313">
        <f t="shared" si="121"/>
        <v>0.95399999999999996</v>
      </c>
      <c r="X507" s="313">
        <f>V506+V507</f>
        <v>0.95399999999999996</v>
      </c>
      <c r="Y507" s="313">
        <f t="shared" si="118"/>
        <v>0.95399999999999996</v>
      </c>
      <c r="AN507" s="316" t="e">
        <f>#REF!-#REF!</f>
        <v>#REF!</v>
      </c>
      <c r="AO507" s="323" t="e">
        <f>#REF!/#REF!-100%</f>
        <v>#REF!</v>
      </c>
    </row>
    <row r="508" spans="1:41" ht="21" x14ac:dyDescent="0.2">
      <c r="A508" s="260" t="s">
        <v>1102</v>
      </c>
      <c r="B508" s="261" t="s">
        <v>1100</v>
      </c>
      <c r="C508" s="282"/>
      <c r="D508" s="278"/>
      <c r="E508" s="278"/>
      <c r="F508" s="278"/>
      <c r="G508" s="294"/>
      <c r="H508" s="280"/>
      <c r="I508" s="280"/>
      <c r="J508" s="280"/>
      <c r="K508" s="280"/>
      <c r="L508" s="555"/>
      <c r="M508" s="555"/>
      <c r="N508" s="555"/>
      <c r="O508" s="555"/>
      <c r="P508" s="555"/>
      <c r="Q508" s="555"/>
      <c r="R508" s="514"/>
      <c r="S508" s="514"/>
      <c r="T508" s="514"/>
      <c r="U508" s="514"/>
      <c r="V508" s="514"/>
      <c r="W508" s="514"/>
      <c r="X508" s="514"/>
      <c r="Y508" s="514"/>
      <c r="AN508" s="316"/>
      <c r="AO508" s="323"/>
    </row>
    <row r="509" spans="1:41" ht="31.5" x14ac:dyDescent="0.2">
      <c r="A509" s="260" t="s">
        <v>1103</v>
      </c>
      <c r="B509" s="261" t="s">
        <v>1100</v>
      </c>
      <c r="C509" s="282">
        <v>1</v>
      </c>
      <c r="D509" s="278"/>
      <c r="E509" s="278"/>
      <c r="F509" s="278"/>
      <c r="G509" s="294" t="s">
        <v>705</v>
      </c>
      <c r="H509" s="280"/>
      <c r="I509" s="280"/>
      <c r="J509" s="280"/>
      <c r="K509" s="280"/>
      <c r="L509" s="540">
        <f>669/1000</f>
        <v>0.66900000000000004</v>
      </c>
      <c r="M509" s="540">
        <f>687/1000</f>
        <v>0.68700000000000006</v>
      </c>
      <c r="N509" s="540">
        <f>555/1000</f>
        <v>0.55500000000000005</v>
      </c>
      <c r="O509" s="540">
        <f>584/1000</f>
        <v>0.58399999999999996</v>
      </c>
      <c r="P509" s="540">
        <f>535/1000</f>
        <v>0.53500000000000003</v>
      </c>
      <c r="Q509" s="540">
        <f>525/1000</f>
        <v>0.52500000000000002</v>
      </c>
      <c r="R509" s="313">
        <f>468/1000</f>
        <v>0.46800000000000003</v>
      </c>
      <c r="S509" s="313">
        <f>(22+8+160+26+80+56+15+15+120+66)/1000</f>
        <v>0.56799999999999995</v>
      </c>
      <c r="T509" s="313">
        <f>(184+27+110+40+15+145+91)/1000</f>
        <v>0.61199999999999999</v>
      </c>
      <c r="U509" s="313">
        <f t="shared" si="121"/>
        <v>0.61199999999999999</v>
      </c>
      <c r="V509" s="313">
        <f>(184+27+110+40+15+145+91)/1000</f>
        <v>0.61199999999999999</v>
      </c>
      <c r="W509" s="313">
        <f t="shared" si="121"/>
        <v>0.61199999999999999</v>
      </c>
      <c r="X509" s="313">
        <f>(184+27+110+40+15+145+91)/1000</f>
        <v>0.61199999999999999</v>
      </c>
      <c r="Y509" s="313">
        <f>X509</f>
        <v>0.61199999999999999</v>
      </c>
      <c r="AN509" s="316" t="e">
        <f>#REF!-#REF!</f>
        <v>#REF!</v>
      </c>
      <c r="AO509" s="323" t="e">
        <f>#REF!/#REF!-100%</f>
        <v>#REF!</v>
      </c>
    </row>
    <row r="510" spans="1:41" ht="21" x14ac:dyDescent="0.2">
      <c r="A510" s="260" t="s">
        <v>1102</v>
      </c>
      <c r="B510" s="261" t="s">
        <v>1100</v>
      </c>
      <c r="C510" s="282"/>
      <c r="D510" s="278"/>
      <c r="E510" s="278"/>
      <c r="F510" s="278"/>
      <c r="G510" s="294"/>
      <c r="H510" s="280"/>
      <c r="I510" s="280"/>
      <c r="J510" s="280"/>
      <c r="K510" s="280"/>
      <c r="L510" s="540"/>
      <c r="M510" s="540"/>
      <c r="N510" s="540"/>
      <c r="O510" s="540"/>
      <c r="P510" s="540"/>
      <c r="Q510" s="540"/>
      <c r="R510" s="313"/>
      <c r="S510" s="313"/>
      <c r="T510" s="313"/>
      <c r="U510" s="313"/>
      <c r="V510" s="313"/>
      <c r="W510" s="313"/>
      <c r="X510" s="313"/>
      <c r="Y510" s="313"/>
      <c r="AN510" s="316"/>
      <c r="AO510" s="323"/>
    </row>
    <row r="511" spans="1:41" x14ac:dyDescent="0.2">
      <c r="A511" s="264" t="s">
        <v>210</v>
      </c>
      <c r="B511" s="265"/>
      <c r="C511" s="282">
        <v>1</v>
      </c>
      <c r="D511" s="278"/>
      <c r="E511" s="278"/>
      <c r="F511" s="278"/>
      <c r="G511" s="294" t="s">
        <v>705</v>
      </c>
      <c r="H511" s="280"/>
      <c r="I511" s="280"/>
      <c r="J511" s="280"/>
      <c r="K511" s="280"/>
      <c r="L511" s="407"/>
      <c r="M511" s="407"/>
      <c r="N511" s="407"/>
      <c r="O511" s="408"/>
      <c r="P511" s="407"/>
      <c r="Q511" s="407"/>
      <c r="R511" s="408"/>
      <c r="S511" s="408"/>
      <c r="T511" s="408"/>
      <c r="U511" s="408"/>
      <c r="V511" s="408"/>
      <c r="W511" s="408"/>
      <c r="X511" s="408"/>
      <c r="Y511" s="408"/>
      <c r="Z511" s="266"/>
      <c r="AN511" s="316" t="e">
        <f>#REF!-#REF!</f>
        <v>#REF!</v>
      </c>
      <c r="AO511" s="323" t="e">
        <f>#REF!/#REF!-100%</f>
        <v>#REF!</v>
      </c>
    </row>
    <row r="512" spans="1:41" ht="31.5" x14ac:dyDescent="0.2">
      <c r="A512" s="260" t="s">
        <v>1104</v>
      </c>
      <c r="B512" s="261" t="s">
        <v>1100</v>
      </c>
      <c r="C512" s="282">
        <v>1</v>
      </c>
      <c r="D512" s="278"/>
      <c r="E512" s="278"/>
      <c r="F512" s="278"/>
      <c r="G512" s="294" t="s">
        <v>705</v>
      </c>
      <c r="H512" s="280"/>
      <c r="I512" s="280"/>
      <c r="J512" s="280"/>
      <c r="K512" s="280"/>
      <c r="L512" s="313">
        <f>206/1000</f>
        <v>0.20599999999999999</v>
      </c>
      <c r="M512" s="313">
        <f>262/1000</f>
        <v>0.26200000000000001</v>
      </c>
      <c r="N512" s="313">
        <f>206/1000</f>
        <v>0.20599999999999999</v>
      </c>
      <c r="O512" s="313">
        <f>395/1000</f>
        <v>0.39500000000000002</v>
      </c>
      <c r="P512" s="313">
        <f>(26+25+25+23+26+36+16+36+20+44+69)/1000</f>
        <v>0.34599999999999997</v>
      </c>
      <c r="Q512" s="313">
        <f>(23+24+25+23+46+14+37+24+41+29)/1000</f>
        <v>0.28599999999999998</v>
      </c>
      <c r="R512" s="313">
        <f>(25+25+25+23+37+24+41+26+16+16)/1000</f>
        <v>0.25800000000000001</v>
      </c>
      <c r="S512" s="313">
        <f>(25+25+25+38+44+42+30+20+23)/1000</f>
        <v>0.27200000000000002</v>
      </c>
      <c r="T512" s="313">
        <f>(237+40)/1000</f>
        <v>0.27700000000000002</v>
      </c>
      <c r="U512" s="313">
        <f t="shared" ref="U512:W513" si="122">T512</f>
        <v>0.27700000000000002</v>
      </c>
      <c r="V512" s="313">
        <f>(237+40)/1000</f>
        <v>0.27700000000000002</v>
      </c>
      <c r="W512" s="313">
        <f t="shared" si="122"/>
        <v>0.27700000000000002</v>
      </c>
      <c r="X512" s="313">
        <f>(237+40)/1000</f>
        <v>0.27700000000000002</v>
      </c>
      <c r="Y512" s="313">
        <f>X512</f>
        <v>0.27700000000000002</v>
      </c>
      <c r="AN512" s="316" t="e">
        <f>#REF!-#REF!</f>
        <v>#REF!</v>
      </c>
      <c r="AO512" s="323" t="e">
        <f>#REF!/#REF!-100%</f>
        <v>#REF!</v>
      </c>
    </row>
    <row r="513" spans="1:41" ht="31.5" x14ac:dyDescent="0.2">
      <c r="A513" s="260" t="s">
        <v>1105</v>
      </c>
      <c r="B513" s="261" t="s">
        <v>1100</v>
      </c>
      <c r="C513" s="282">
        <v>1</v>
      </c>
      <c r="D513" s="278"/>
      <c r="E513" s="278"/>
      <c r="F513" s="278"/>
      <c r="G513" s="294" t="s">
        <v>705</v>
      </c>
      <c r="H513" s="280"/>
      <c r="I513" s="280"/>
      <c r="J513" s="280"/>
      <c r="K513" s="280"/>
      <c r="L513" s="429">
        <f>44/1000</f>
        <v>4.3999999999999997E-2</v>
      </c>
      <c r="M513" s="429">
        <f>115/1000</f>
        <v>0.115</v>
      </c>
      <c r="N513" s="429">
        <f>44/1000</f>
        <v>4.3999999999999997E-2</v>
      </c>
      <c r="O513" s="429">
        <f>59/1000</f>
        <v>5.8999999999999997E-2</v>
      </c>
      <c r="P513" s="429">
        <f>(9+68)/1000</f>
        <v>7.6999999999999999E-2</v>
      </c>
      <c r="Q513" s="429">
        <f>(12+53)/1000</f>
        <v>6.5000000000000002E-2</v>
      </c>
      <c r="R513" s="429">
        <f>63/1000</f>
        <v>6.3E-2</v>
      </c>
      <c r="S513" s="429">
        <f>(38+8+15+36+12+20)/1000</f>
        <v>0.129</v>
      </c>
      <c r="T513" s="429">
        <f>(40+15+58+13+60)/1000</f>
        <v>0.186</v>
      </c>
      <c r="U513" s="429">
        <f t="shared" si="122"/>
        <v>0.186</v>
      </c>
      <c r="V513" s="429">
        <f>((9+73+40+9+114)*0.8)/1000</f>
        <v>0.19600000000000001</v>
      </c>
      <c r="W513" s="429">
        <f t="shared" si="122"/>
        <v>0.19600000000000001</v>
      </c>
      <c r="X513" s="429">
        <f>((9+73+40+9+114)*0.8)/1000</f>
        <v>0.19600000000000001</v>
      </c>
      <c r="Y513" s="429">
        <f>X513</f>
        <v>0.19600000000000001</v>
      </c>
      <c r="AN513" s="316" t="e">
        <f>#REF!-#REF!</f>
        <v>#REF!</v>
      </c>
      <c r="AO513" s="323" t="e">
        <f>#REF!/#REF!-100%</f>
        <v>#REF!</v>
      </c>
    </row>
    <row r="514" spans="1:41" x14ac:dyDescent="0.2">
      <c r="A514" s="264" t="s">
        <v>593</v>
      </c>
      <c r="B514" s="265"/>
      <c r="C514" s="282">
        <v>1</v>
      </c>
      <c r="D514" s="293"/>
      <c r="E514" s="293"/>
      <c r="F514" s="293"/>
      <c r="G514" s="294" t="s">
        <v>705</v>
      </c>
      <c r="H514" s="280"/>
      <c r="I514" s="280"/>
      <c r="J514" s="280"/>
      <c r="K514" s="280"/>
      <c r="L514" s="306"/>
      <c r="M514" s="315"/>
      <c r="N514" s="315"/>
      <c r="O514" s="315"/>
      <c r="P514" s="419"/>
      <c r="Q514" s="322"/>
      <c r="R514" s="322"/>
      <c r="S514" s="322"/>
      <c r="T514" s="322"/>
      <c r="U514" s="322"/>
      <c r="V514" s="322"/>
      <c r="W514" s="322"/>
      <c r="X514" s="322"/>
      <c r="Y514" s="322"/>
      <c r="Z514" s="266"/>
      <c r="AN514" s="316">
        <f>Q522-P522</f>
        <v>-3</v>
      </c>
      <c r="AO514" s="323">
        <f>Q522/P522-100%</f>
        <v>-5.0675675675675436E-3</v>
      </c>
    </row>
    <row r="515" spans="1:41" ht="21" x14ac:dyDescent="0.2">
      <c r="A515" s="260" t="s">
        <v>1106</v>
      </c>
      <c r="B515" s="261" t="s">
        <v>1107</v>
      </c>
      <c r="C515" s="282">
        <v>1</v>
      </c>
      <c r="D515" s="414"/>
      <c r="E515" s="414"/>
      <c r="F515" s="414"/>
      <c r="G515" s="415" t="s">
        <v>705</v>
      </c>
      <c r="H515" s="280"/>
      <c r="I515" s="280"/>
      <c r="J515" s="280"/>
      <c r="K515" s="280"/>
      <c r="L515" s="539">
        <f>412*10000/(L14*1000)</f>
        <v>64.857376739500026</v>
      </c>
      <c r="M515" s="539">
        <f>407*10000/(M14*1000)</f>
        <v>64.092469528518791</v>
      </c>
      <c r="N515" s="539">
        <f>377*10000/(N14*1000)</f>
        <v>59.522869728594664</v>
      </c>
      <c r="O515" s="539">
        <f>354*10000/(O14*1000)</f>
        <v>56.333545512412478</v>
      </c>
      <c r="P515" s="540">
        <f>353*10000/(P14*1000)</f>
        <v>56.597723264389934</v>
      </c>
      <c r="Q515" s="540">
        <f>329*10000/(Q14*1000)</f>
        <v>52.945815027599416</v>
      </c>
      <c r="R515" s="313"/>
      <c r="S515" s="313"/>
      <c r="T515" s="313"/>
      <c r="U515" s="313"/>
      <c r="V515" s="313"/>
      <c r="W515" s="313"/>
      <c r="X515" s="313"/>
      <c r="Y515" s="313"/>
      <c r="AA515" s="267"/>
      <c r="AB515" s="267"/>
      <c r="AC515" s="267"/>
      <c r="AD515" s="267"/>
      <c r="AE515" s="267"/>
      <c r="AF515" s="267"/>
      <c r="AG515" s="267"/>
      <c r="AH515" s="267"/>
      <c r="AI515" s="267"/>
      <c r="AJ515" s="267"/>
      <c r="AK515" s="267"/>
      <c r="AL515" s="267"/>
      <c r="AM515" s="267"/>
      <c r="AN515" s="316">
        <f>Q516-P516</f>
        <v>2.980176462208739E-2</v>
      </c>
      <c r="AO515" s="323">
        <f>Q516/P516-100%</f>
        <v>3.7174721189592308E-3</v>
      </c>
    </row>
    <row r="516" spans="1:41" s="452" customFormat="1" ht="18" x14ac:dyDescent="0.2">
      <c r="A516" s="441" t="s">
        <v>247</v>
      </c>
      <c r="B516" s="446" t="s">
        <v>248</v>
      </c>
      <c r="C516" s="447"/>
      <c r="D516" s="447"/>
      <c r="E516" s="448"/>
      <c r="F516" s="447"/>
      <c r="G516" s="449"/>
      <c r="H516" s="450"/>
      <c r="I516" s="450"/>
      <c r="J516" s="450"/>
      <c r="K516" s="450"/>
      <c r="L516" s="455">
        <f>8*100/L14</f>
        <v>12.593665386310686</v>
      </c>
      <c r="M516" s="455">
        <f>6*100/M14</f>
        <v>9.4485213064155449</v>
      </c>
      <c r="N516" s="455">
        <f t="shared" ref="N516:T516" si="123">5*100/N14</f>
        <v>7.8942798048534026</v>
      </c>
      <c r="O516" s="455">
        <f t="shared" si="123"/>
        <v>7.9567154678548695</v>
      </c>
      <c r="P516" s="455">
        <f t="shared" si="123"/>
        <v>8.0166746833413498</v>
      </c>
      <c r="Q516" s="455">
        <f t="shared" si="123"/>
        <v>8.0464764479634372</v>
      </c>
      <c r="R516" s="455">
        <f t="shared" si="123"/>
        <v>8.0659471841778387</v>
      </c>
      <c r="S516" s="455">
        <f t="shared" si="123"/>
        <v>8.0780664340183534</v>
      </c>
      <c r="T516" s="455">
        <f t="shared" si="123"/>
        <v>8.0987398360815064</v>
      </c>
      <c r="U516" s="455">
        <f>T516</f>
        <v>8.0987398360815064</v>
      </c>
      <c r="V516" s="455">
        <f>5*100/V14</f>
        <v>8.1163560807739756</v>
      </c>
      <c r="W516" s="455">
        <f>V516</f>
        <v>8.1163560807739756</v>
      </c>
      <c r="X516" s="455">
        <f>5*100/X14</f>
        <v>8.1332552540828935</v>
      </c>
      <c r="Y516" s="455">
        <f>X516</f>
        <v>8.1332552540828935</v>
      </c>
      <c r="Z516" s="451"/>
      <c r="AN516" s="453" t="e">
        <f>#REF!-#REF!</f>
        <v>#REF!</v>
      </c>
      <c r="AO516" s="454" t="e">
        <f>#REF!/#REF!-100%</f>
        <v>#REF!</v>
      </c>
    </row>
    <row r="517" spans="1:41" s="452" customFormat="1" ht="18" x14ac:dyDescent="0.2">
      <c r="A517" s="441" t="s">
        <v>249</v>
      </c>
      <c r="B517" s="446" t="s">
        <v>248</v>
      </c>
      <c r="C517" s="556">
        <v>1</v>
      </c>
      <c r="D517" s="557"/>
      <c r="E517" s="557"/>
      <c r="F517" s="557"/>
      <c r="G517" s="558" t="s">
        <v>705</v>
      </c>
      <c r="H517" s="559"/>
      <c r="I517" s="559"/>
      <c r="J517" s="559"/>
      <c r="K517" s="559"/>
      <c r="L517" s="455">
        <f>3*100/L14</f>
        <v>4.7226245198665069</v>
      </c>
      <c r="M517" s="455">
        <f>3*100/M14</f>
        <v>4.7242606532077724</v>
      </c>
      <c r="N517" s="455">
        <f t="shared" ref="N517:T517" si="124">2*100/N14</f>
        <v>3.157711921941361</v>
      </c>
      <c r="O517" s="455">
        <f t="shared" si="124"/>
        <v>3.1826861871419476</v>
      </c>
      <c r="P517" s="455">
        <f t="shared" si="124"/>
        <v>3.2066698733365402</v>
      </c>
      <c r="Q517" s="455">
        <f t="shared" si="124"/>
        <v>3.2185905791853746</v>
      </c>
      <c r="R517" s="455">
        <f t="shared" si="124"/>
        <v>3.2263788736711354</v>
      </c>
      <c r="S517" s="455">
        <f t="shared" si="124"/>
        <v>3.2312265736073411</v>
      </c>
      <c r="T517" s="455">
        <f t="shared" si="124"/>
        <v>3.2394959344326022</v>
      </c>
      <c r="U517" s="455">
        <f>T517</f>
        <v>3.2394959344326022</v>
      </c>
      <c r="V517" s="455">
        <f>2*100/V14</f>
        <v>3.2465424323095902</v>
      </c>
      <c r="W517" s="455">
        <f>V517</f>
        <v>3.2465424323095902</v>
      </c>
      <c r="X517" s="455">
        <f>2*100/X14</f>
        <v>3.2533021016331576</v>
      </c>
      <c r="Y517" s="455">
        <f>X517</f>
        <v>3.2533021016331576</v>
      </c>
      <c r="Z517" s="451"/>
      <c r="AN517" s="453" t="e">
        <f>#REF!-#REF!</f>
        <v>#REF!</v>
      </c>
      <c r="AO517" s="454" t="e">
        <f>#REF!/#REF!-100%</f>
        <v>#REF!</v>
      </c>
    </row>
    <row r="518" spans="1:41" s="452" customFormat="1" ht="21" x14ac:dyDescent="0.2">
      <c r="A518" s="441" t="s">
        <v>250</v>
      </c>
      <c r="B518" s="446" t="s">
        <v>565</v>
      </c>
      <c r="C518" s="556">
        <v>1</v>
      </c>
      <c r="D518" s="557"/>
      <c r="E518" s="557"/>
      <c r="F518" s="557"/>
      <c r="G518" s="558" t="s">
        <v>705</v>
      </c>
      <c r="H518" s="559"/>
      <c r="I518" s="559"/>
      <c r="J518" s="559"/>
      <c r="K518" s="559"/>
      <c r="L518" s="455">
        <v>634.25</v>
      </c>
      <c r="M518" s="455">
        <v>711.21495327102809</v>
      </c>
      <c r="N518" s="455">
        <v>702.58035310095067</v>
      </c>
      <c r="O518" s="455">
        <v>683.99638336347198</v>
      </c>
      <c r="P518" s="455">
        <v>785.81050740907051</v>
      </c>
      <c r="Q518" s="455">
        <v>832.40596483418653</v>
      </c>
      <c r="R518" s="455">
        <v>820.8955223880597</v>
      </c>
      <c r="S518" s="455">
        <v>809.34862583856307</v>
      </c>
      <c r="T518" s="455">
        <v>811.98436821537121</v>
      </c>
      <c r="U518" s="455">
        <f>T518</f>
        <v>811.98436821537121</v>
      </c>
      <c r="V518" s="455">
        <v>808.47384349329877</v>
      </c>
      <c r="W518" s="455">
        <f>V518</f>
        <v>808.47384349329877</v>
      </c>
      <c r="X518" s="455">
        <v>808.47384349329877</v>
      </c>
      <c r="Y518" s="455">
        <f>X518</f>
        <v>808.47384349329877</v>
      </c>
      <c r="Z518" s="456" t="s">
        <v>244</v>
      </c>
      <c r="AN518" s="453" t="e">
        <f>#REF!-#REF!</f>
        <v>#REF!</v>
      </c>
      <c r="AO518" s="454" t="e">
        <f>#REF!/#REF!-100%</f>
        <v>#REF!</v>
      </c>
    </row>
    <row r="519" spans="1:41" ht="21" x14ac:dyDescent="0.2">
      <c r="A519" s="260" t="s">
        <v>1108</v>
      </c>
      <c r="B519" s="261" t="s">
        <v>1109</v>
      </c>
      <c r="C519" s="282">
        <v>1</v>
      </c>
      <c r="D519" s="293"/>
      <c r="E519" s="293"/>
      <c r="F519" s="293"/>
      <c r="G519" s="294" t="s">
        <v>705</v>
      </c>
      <c r="H519" s="280"/>
      <c r="I519" s="280"/>
      <c r="J519" s="280"/>
      <c r="K519" s="280"/>
      <c r="L519" s="539">
        <f>2476*10000/(L14*1000)</f>
        <v>389.77394370631572</v>
      </c>
      <c r="M519" s="539">
        <f>2511*10000/(M14*1000)</f>
        <v>395.4206166734906</v>
      </c>
      <c r="N519" s="539">
        <f>2511*10000/(N14*1000)</f>
        <v>396.45073179973792</v>
      </c>
      <c r="O519" s="539">
        <f>2511*10000/(O14*1000)</f>
        <v>399.58625079567156</v>
      </c>
      <c r="P519" s="539">
        <f>2474*10000/(P14*1000)</f>
        <v>396.66506333172998</v>
      </c>
      <c r="Q519" s="539">
        <f>2460*10000/(Q14*1000)</f>
        <v>395.88664123980107</v>
      </c>
      <c r="R519" s="313"/>
      <c r="S519" s="313"/>
      <c r="T519" s="313"/>
      <c r="U519" s="313"/>
      <c r="V519" s="313"/>
      <c r="W519" s="313"/>
      <c r="X519" s="313"/>
      <c r="Y519" s="313"/>
      <c r="AN519" s="316" t="e">
        <f>#REF!-#REF!</f>
        <v>#REF!</v>
      </c>
      <c r="AO519" s="323" t="e">
        <f>#REF!/#REF!-100%</f>
        <v>#REF!</v>
      </c>
    </row>
    <row r="520" spans="1:41" x14ac:dyDescent="0.2">
      <c r="A520" s="260" t="s">
        <v>1110</v>
      </c>
      <c r="B520" s="261"/>
      <c r="C520" s="282"/>
      <c r="D520" s="293"/>
      <c r="E520" s="293"/>
      <c r="F520" s="293"/>
      <c r="G520" s="294"/>
      <c r="H520" s="280"/>
      <c r="I520" s="280"/>
      <c r="J520" s="280"/>
      <c r="K520" s="280"/>
      <c r="L520" s="539"/>
      <c r="M520" s="539"/>
      <c r="N520" s="539"/>
      <c r="O520" s="539"/>
      <c r="P520" s="539"/>
      <c r="Q520" s="539"/>
      <c r="R520" s="313"/>
      <c r="S520" s="313"/>
      <c r="T520" s="313"/>
      <c r="U520" s="313"/>
      <c r="V520" s="313"/>
      <c r="W520" s="313"/>
      <c r="X520" s="313"/>
      <c r="Y520" s="313"/>
      <c r="AN520" s="316"/>
      <c r="AO520" s="323"/>
    </row>
    <row r="521" spans="1:41" s="266" customFormat="1" x14ac:dyDescent="0.2">
      <c r="A521" s="260" t="s">
        <v>1111</v>
      </c>
      <c r="B521" s="261" t="s">
        <v>1112</v>
      </c>
      <c r="C521" s="295"/>
      <c r="D521" s="296"/>
      <c r="E521" s="296"/>
      <c r="F521" s="296"/>
      <c r="G521" s="297"/>
      <c r="H521" s="298"/>
      <c r="I521" s="298"/>
      <c r="J521" s="298"/>
      <c r="K521" s="298"/>
      <c r="L521" s="539">
        <f>253</f>
        <v>253</v>
      </c>
      <c r="M521" s="539">
        <f>249</f>
        <v>249</v>
      </c>
      <c r="N521" s="539">
        <f>239</f>
        <v>239</v>
      </c>
      <c r="O521" s="539">
        <f>231</f>
        <v>231</v>
      </c>
      <c r="P521" s="539">
        <f>246</f>
        <v>246</v>
      </c>
      <c r="Q521" s="539">
        <f>248</f>
        <v>248</v>
      </c>
      <c r="R521" s="313"/>
      <c r="S521" s="313"/>
      <c r="T521" s="313"/>
      <c r="U521" s="313"/>
      <c r="V521" s="313"/>
      <c r="W521" s="313"/>
      <c r="X521" s="313"/>
      <c r="Y521" s="313"/>
      <c r="Z521" s="31"/>
      <c r="AN521" s="316" t="e">
        <f>#REF!-#REF!</f>
        <v>#REF!</v>
      </c>
      <c r="AO521" s="323" t="e">
        <f>#REF!/#REF!-100%</f>
        <v>#REF!</v>
      </c>
    </row>
    <row r="522" spans="1:41" ht="13.5" customHeight="1" x14ac:dyDescent="0.2">
      <c r="A522" s="260" t="s">
        <v>1113</v>
      </c>
      <c r="B522" s="261" t="s">
        <v>1112</v>
      </c>
      <c r="C522" s="282">
        <v>1</v>
      </c>
      <c r="D522" s="293"/>
      <c r="E522" s="293"/>
      <c r="F522" s="293"/>
      <c r="G522" s="294" t="s">
        <v>705</v>
      </c>
      <c r="H522" s="280"/>
      <c r="I522" s="280"/>
      <c r="J522" s="280"/>
      <c r="K522" s="280"/>
      <c r="L522" s="539">
        <f>619</f>
        <v>619</v>
      </c>
      <c r="M522" s="539">
        <f>608</f>
        <v>608</v>
      </c>
      <c r="N522" s="539">
        <f>674</f>
        <v>674</v>
      </c>
      <c r="O522" s="539">
        <f>634</f>
        <v>634</v>
      </c>
      <c r="P522" s="539">
        <f>592</f>
        <v>592</v>
      </c>
      <c r="Q522" s="539">
        <f>589</f>
        <v>589</v>
      </c>
      <c r="R522" s="313"/>
      <c r="S522" s="313"/>
      <c r="T522" s="313"/>
      <c r="U522" s="313"/>
      <c r="V522" s="313"/>
      <c r="W522" s="313"/>
      <c r="X522" s="313"/>
      <c r="Y522" s="313"/>
      <c r="AN522" s="316" t="e">
        <f>#REF!-#REF!</f>
        <v>#REF!</v>
      </c>
      <c r="AO522" s="323" t="e">
        <f>#REF!/#REF!-100%</f>
        <v>#REF!</v>
      </c>
    </row>
    <row r="523" spans="1:41" ht="28.5" x14ac:dyDescent="0.2">
      <c r="A523" s="292" t="s">
        <v>259</v>
      </c>
      <c r="B523" s="261"/>
      <c r="C523" s="282">
        <v>1</v>
      </c>
      <c r="D523" s="293"/>
      <c r="E523" s="293"/>
      <c r="F523" s="293"/>
      <c r="G523" s="294" t="s">
        <v>705</v>
      </c>
      <c r="H523" s="280"/>
      <c r="I523" s="280"/>
      <c r="J523" s="280"/>
      <c r="K523" s="280"/>
      <c r="L523" s="281"/>
      <c r="M523" s="281"/>
      <c r="N523" s="281"/>
      <c r="O523" s="281"/>
      <c r="P523" s="313"/>
      <c r="Q523" s="313"/>
      <c r="R523" s="313"/>
      <c r="S523" s="313"/>
      <c r="T523" s="313"/>
      <c r="U523" s="313"/>
      <c r="V523" s="313"/>
      <c r="W523" s="313"/>
      <c r="X523" s="313"/>
      <c r="Y523" s="313"/>
      <c r="AN523" s="316">
        <f>Q534-P534</f>
        <v>0</v>
      </c>
      <c r="AO523" s="323" t="e">
        <f>Q534/P534-100%</f>
        <v>#DIV/0!</v>
      </c>
    </row>
    <row r="524" spans="1:41" ht="21" x14ac:dyDescent="0.2">
      <c r="A524" s="260" t="s">
        <v>1114</v>
      </c>
      <c r="B524" s="261" t="s">
        <v>1020</v>
      </c>
      <c r="C524" s="282"/>
      <c r="D524" s="293"/>
      <c r="E524" s="293"/>
      <c r="F524" s="293"/>
      <c r="G524" s="294"/>
      <c r="H524" s="280"/>
      <c r="I524" s="280"/>
      <c r="J524" s="280"/>
      <c r="K524" s="280"/>
      <c r="L524" s="281"/>
      <c r="M524" s="281"/>
      <c r="N524" s="281"/>
      <c r="O524" s="281"/>
      <c r="P524" s="313"/>
      <c r="Q524" s="313"/>
      <c r="R524" s="313"/>
      <c r="S524" s="313"/>
      <c r="T524" s="313"/>
      <c r="U524" s="313"/>
      <c r="V524" s="313"/>
      <c r="W524" s="313"/>
      <c r="X524" s="313"/>
      <c r="Y524" s="313"/>
      <c r="AN524" s="316"/>
      <c r="AO524" s="323"/>
    </row>
    <row r="525" spans="1:41" ht="42" x14ac:dyDescent="0.2">
      <c r="A525" s="264" t="s">
        <v>1115</v>
      </c>
      <c r="B525" s="261" t="s">
        <v>1116</v>
      </c>
      <c r="C525" s="282">
        <v>1</v>
      </c>
      <c r="D525" s="293"/>
      <c r="E525" s="293"/>
      <c r="F525" s="293"/>
      <c r="G525" s="294" t="s">
        <v>704</v>
      </c>
      <c r="H525" s="280"/>
      <c r="I525" s="280"/>
      <c r="J525" s="280"/>
      <c r="K525" s="280"/>
      <c r="L525" s="281"/>
      <c r="M525" s="281">
        <v>21.93</v>
      </c>
      <c r="N525" s="281"/>
      <c r="O525" s="281">
        <v>41.594670000000001</v>
      </c>
      <c r="P525" s="313">
        <v>121.46</v>
      </c>
      <c r="Q525" s="313">
        <v>70.34</v>
      </c>
      <c r="R525" s="313">
        <v>82.74</v>
      </c>
      <c r="S525" s="313">
        <v>48.27</v>
      </c>
      <c r="T525" s="313">
        <v>48.27</v>
      </c>
      <c r="U525" s="313">
        <f>T525*1.01</f>
        <v>48.752700000000004</v>
      </c>
      <c r="V525" s="313">
        <v>48.27</v>
      </c>
      <c r="W525" s="313">
        <f>V525*1.01</f>
        <v>48.752700000000004</v>
      </c>
      <c r="X525" s="313">
        <v>48.27</v>
      </c>
      <c r="Y525" s="313">
        <f>X525*1.01</f>
        <v>48.752700000000004</v>
      </c>
      <c r="AN525" s="316" t="e">
        <f>#REF!-#REF!</f>
        <v>#REF!</v>
      </c>
      <c r="AO525" s="323" t="e">
        <f>#REF!/#REF!-100%</f>
        <v>#REF!</v>
      </c>
    </row>
    <row r="526" spans="1:41" ht="18" hidden="1" x14ac:dyDescent="0.2">
      <c r="A526" s="260" t="s">
        <v>1117</v>
      </c>
      <c r="B526" s="261" t="s">
        <v>1116</v>
      </c>
      <c r="C526" s="282"/>
      <c r="D526" s="293"/>
      <c r="E526" s="293"/>
      <c r="F526" s="293"/>
      <c r="G526" s="294"/>
      <c r="H526" s="280"/>
      <c r="I526" s="280"/>
      <c r="J526" s="280"/>
      <c r="K526" s="280"/>
      <c r="L526" s="281"/>
      <c r="M526" s="281"/>
      <c r="N526" s="281"/>
      <c r="O526" s="281"/>
      <c r="P526" s="313"/>
      <c r="Q526" s="313"/>
      <c r="R526" s="313"/>
      <c r="S526" s="313"/>
      <c r="T526" s="313"/>
      <c r="U526" s="313"/>
      <c r="V526" s="313"/>
      <c r="W526" s="313"/>
      <c r="X526" s="313"/>
      <c r="Y526" s="313"/>
      <c r="AN526" s="316">
        <f>Q535-P535</f>
        <v>0</v>
      </c>
      <c r="AO526" s="323" t="e">
        <f>Q535/P535-100%</f>
        <v>#DIV/0!</v>
      </c>
    </row>
    <row r="527" spans="1:41" hidden="1" x14ac:dyDescent="0.2">
      <c r="A527" s="260" t="s">
        <v>159</v>
      </c>
      <c r="B527" s="261"/>
      <c r="C527" s="282"/>
      <c r="D527" s="293"/>
      <c r="E527" s="293"/>
      <c r="F527" s="293"/>
      <c r="G527" s="294"/>
      <c r="H527" s="280"/>
      <c r="I527" s="280"/>
      <c r="J527" s="280"/>
      <c r="K527" s="280"/>
      <c r="L527" s="281"/>
      <c r="M527" s="281"/>
      <c r="N527" s="281"/>
      <c r="O527" s="281"/>
      <c r="P527" s="313"/>
      <c r="Q527" s="313"/>
      <c r="R527" s="313"/>
      <c r="S527" s="313"/>
      <c r="T527" s="313"/>
      <c r="U527" s="313"/>
      <c r="V527" s="313"/>
      <c r="W527" s="313"/>
      <c r="X527" s="313"/>
      <c r="Y527" s="313"/>
      <c r="AN527" s="316"/>
      <c r="AO527" s="323"/>
    </row>
    <row r="528" spans="1:41" ht="21.75" hidden="1" customHeight="1" x14ac:dyDescent="0.2">
      <c r="A528" s="260" t="s">
        <v>160</v>
      </c>
      <c r="B528" s="261" t="s">
        <v>578</v>
      </c>
      <c r="C528" s="282">
        <v>1</v>
      </c>
      <c r="D528" s="278"/>
      <c r="E528" s="278"/>
      <c r="F528" s="278"/>
      <c r="G528" s="279" t="s">
        <v>705</v>
      </c>
      <c r="H528" s="280"/>
      <c r="I528" s="280"/>
      <c r="J528" s="280"/>
      <c r="K528" s="280"/>
      <c r="L528" s="281"/>
      <c r="M528" s="281"/>
      <c r="N528" s="281"/>
      <c r="O528" s="281"/>
      <c r="P528" s="313"/>
      <c r="Q528" s="313"/>
      <c r="R528" s="313"/>
      <c r="S528" s="313"/>
      <c r="T528" s="313"/>
      <c r="U528" s="313"/>
      <c r="V528" s="313"/>
      <c r="W528" s="313"/>
      <c r="X528" s="313"/>
      <c r="Y528" s="313"/>
      <c r="AN528" s="316">
        <f>Q537-P537</f>
        <v>5.0000000000000044E-2</v>
      </c>
      <c r="AO528" s="323">
        <f>Q537/P537-100%</f>
        <v>5.8823529411764719E-2</v>
      </c>
    </row>
    <row r="529" spans="1:41" s="271" customFormat="1" ht="21" hidden="1" x14ac:dyDescent="0.2">
      <c r="A529" s="260" t="s">
        <v>261</v>
      </c>
      <c r="B529" s="261" t="s">
        <v>578</v>
      </c>
      <c r="C529" s="410">
        <v>1</v>
      </c>
      <c r="D529" s="293"/>
      <c r="E529" s="293"/>
      <c r="F529" s="293"/>
      <c r="G529" s="294" t="s">
        <v>704</v>
      </c>
      <c r="H529" s="411"/>
      <c r="I529" s="411"/>
      <c r="J529" s="411"/>
      <c r="K529" s="411"/>
      <c r="L529" s="281"/>
      <c r="M529" s="281"/>
      <c r="N529" s="281"/>
      <c r="O529" s="281"/>
      <c r="P529" s="313"/>
      <c r="Q529" s="313"/>
      <c r="R529" s="313"/>
      <c r="S529" s="313"/>
      <c r="T529" s="313"/>
      <c r="U529" s="313"/>
      <c r="V529" s="313"/>
      <c r="W529" s="313"/>
      <c r="X529" s="313"/>
      <c r="Y529" s="313"/>
      <c r="Z529" s="31"/>
      <c r="AA529" s="560"/>
      <c r="AB529" s="560"/>
      <c r="AC529" s="560"/>
      <c r="AD529" s="560"/>
      <c r="AE529" s="560"/>
      <c r="AF529" s="560"/>
      <c r="AG529" s="560"/>
      <c r="AH529" s="560"/>
      <c r="AI529" s="560"/>
      <c r="AJ529" s="560"/>
      <c r="AK529" s="560"/>
      <c r="AL529" s="560"/>
      <c r="AM529" s="560"/>
      <c r="AN529" s="391" t="e">
        <f>#REF!-#REF!</f>
        <v>#REF!</v>
      </c>
      <c r="AO529" s="392" t="e">
        <f>#REF!/#REF!-100%</f>
        <v>#REF!</v>
      </c>
    </row>
    <row r="530" spans="1:41" x14ac:dyDescent="0.2">
      <c r="A530" s="260" t="s">
        <v>262</v>
      </c>
      <c r="B530" s="261" t="s">
        <v>578</v>
      </c>
      <c r="C530" s="282">
        <v>1</v>
      </c>
      <c r="D530" s="293"/>
      <c r="E530" s="293"/>
      <c r="F530" s="293"/>
      <c r="G530" s="294" t="s">
        <v>705</v>
      </c>
      <c r="H530" s="280"/>
      <c r="I530" s="280"/>
      <c r="J530" s="280"/>
      <c r="K530" s="280"/>
      <c r="L530" s="281"/>
      <c r="M530" s="281">
        <v>17.14</v>
      </c>
      <c r="N530" s="281"/>
      <c r="O530" s="281">
        <f>O525</f>
        <v>41.594670000000001</v>
      </c>
      <c r="P530" s="313">
        <f t="shared" ref="P530:V530" si="125">P525</f>
        <v>121.46</v>
      </c>
      <c r="Q530" s="313">
        <f t="shared" si="125"/>
        <v>70.34</v>
      </c>
      <c r="R530" s="313">
        <f t="shared" si="125"/>
        <v>82.74</v>
      </c>
      <c r="S530" s="313">
        <f t="shared" si="125"/>
        <v>48.27</v>
      </c>
      <c r="T530" s="313">
        <f t="shared" si="125"/>
        <v>48.27</v>
      </c>
      <c r="U530" s="313">
        <f>T530*1.01</f>
        <v>48.752700000000004</v>
      </c>
      <c r="V530" s="313">
        <f t="shared" si="125"/>
        <v>48.27</v>
      </c>
      <c r="W530" s="313">
        <f>V530*1.01</f>
        <v>48.752700000000004</v>
      </c>
      <c r="X530" s="313">
        <f>X525</f>
        <v>48.27</v>
      </c>
      <c r="Y530" s="313">
        <f>X530*1.01</f>
        <v>48.752700000000004</v>
      </c>
      <c r="AN530" s="316">
        <f>Q539-P539</f>
        <v>-0.54</v>
      </c>
      <c r="AO530" s="323">
        <f>Q539/P539-100%</f>
        <v>-1</v>
      </c>
    </row>
    <row r="531" spans="1:41" ht="31.5" x14ac:dyDescent="0.2">
      <c r="A531" s="260" t="s">
        <v>569</v>
      </c>
      <c r="B531" s="261" t="s">
        <v>448</v>
      </c>
      <c r="C531" s="282">
        <v>1</v>
      </c>
      <c r="D531" s="293"/>
      <c r="E531" s="293"/>
      <c r="F531" s="293"/>
      <c r="G531" s="294" t="s">
        <v>704</v>
      </c>
      <c r="H531" s="280"/>
      <c r="I531" s="280"/>
      <c r="J531" s="280"/>
      <c r="K531" s="280"/>
      <c r="L531" s="281"/>
      <c r="M531" s="281">
        <v>6.91</v>
      </c>
      <c r="N531" s="281">
        <v>6.4379999999999997</v>
      </c>
      <c r="O531" s="281">
        <v>6.4960000000000004</v>
      </c>
      <c r="P531" s="313">
        <v>6.319</v>
      </c>
      <c r="Q531" s="313">
        <f>P531*0.98</f>
        <v>6.1926199999999998</v>
      </c>
      <c r="R531" s="313">
        <f>Q531*0.98</f>
        <v>6.0687675999999993</v>
      </c>
      <c r="S531" s="313">
        <f>R531*0.98</f>
        <v>5.947392247999999</v>
      </c>
      <c r="T531" s="313">
        <f>S531*0.98</f>
        <v>5.8284444030399989</v>
      </c>
      <c r="U531" s="313">
        <f>T531*1.01</f>
        <v>5.8867288470703993</v>
      </c>
      <c r="V531" s="313">
        <f>T531*0.98</f>
        <v>5.7118755149791989</v>
      </c>
      <c r="W531" s="313">
        <f>V531*1.01</f>
        <v>5.7689942701289914</v>
      </c>
      <c r="X531" s="313">
        <f>V531*0.98</f>
        <v>5.5976380046796148</v>
      </c>
      <c r="Y531" s="313">
        <f>X531*1.01</f>
        <v>5.6536143847264109</v>
      </c>
      <c r="AN531" s="316" t="e">
        <f>#REF!-#REF!</f>
        <v>#REF!</v>
      </c>
      <c r="AO531" s="323" t="e">
        <f>#REF!/#REF!-100%</f>
        <v>#REF!</v>
      </c>
    </row>
    <row r="532" spans="1:41" ht="31.5" x14ac:dyDescent="0.2">
      <c r="A532" s="260" t="s">
        <v>1118</v>
      </c>
      <c r="B532" s="261" t="s">
        <v>449</v>
      </c>
      <c r="C532" s="282">
        <v>1</v>
      </c>
      <c r="D532" s="293"/>
      <c r="E532" s="293"/>
      <c r="F532" s="293"/>
      <c r="G532" s="294" t="s">
        <v>704</v>
      </c>
      <c r="H532" s="280"/>
      <c r="I532" s="280"/>
      <c r="J532" s="280"/>
      <c r="K532" s="280"/>
      <c r="L532" s="281"/>
      <c r="M532" s="281">
        <v>39.9</v>
      </c>
      <c r="N532" s="281">
        <v>41.8</v>
      </c>
      <c r="O532" s="281">
        <v>40.299999999999997</v>
      </c>
      <c r="P532" s="313">
        <v>43.6</v>
      </c>
      <c r="Q532" s="313">
        <f>AVERAGE(N532,O532,P532)</f>
        <v>41.9</v>
      </c>
      <c r="R532" s="313">
        <f>AVERAGE(O532,P532,Q532)</f>
        <v>41.933333333333337</v>
      </c>
      <c r="S532" s="313">
        <f>AVERAGE(Q532,R532,P532)</f>
        <v>42.477777777777781</v>
      </c>
      <c r="T532" s="313">
        <f>AVERAGE(Q532,S532,R532)</f>
        <v>42.103703703703708</v>
      </c>
      <c r="U532" s="313">
        <f>T532*1.01</f>
        <v>42.524740740740747</v>
      </c>
      <c r="V532" s="313">
        <f>AVERAGE(R532,T532,S532)</f>
        <v>42.171604938271606</v>
      </c>
      <c r="W532" s="313">
        <f>V532*1.01</f>
        <v>42.593320987654323</v>
      </c>
      <c r="X532" s="313">
        <f>AVERAGE(S532,V532,T532)</f>
        <v>42.251028806584365</v>
      </c>
      <c r="Y532" s="313">
        <f>X532*1.01</f>
        <v>42.673539094650209</v>
      </c>
      <c r="AN532" s="316" t="e">
        <f>#REF!-#REF!</f>
        <v>#REF!</v>
      </c>
      <c r="AO532" s="323" t="e">
        <f>#REF!/#REF!-100%</f>
        <v>#REF!</v>
      </c>
    </row>
    <row r="533" spans="1:41" x14ac:dyDescent="0.2">
      <c r="A533" s="260" t="s">
        <v>1119</v>
      </c>
      <c r="B533" s="261" t="s">
        <v>448</v>
      </c>
      <c r="C533" s="282">
        <v>1</v>
      </c>
      <c r="D533" s="293"/>
      <c r="E533" s="293"/>
      <c r="F533" s="293"/>
      <c r="G533" s="294" t="s">
        <v>704</v>
      </c>
      <c r="H533" s="280"/>
      <c r="I533" s="280"/>
      <c r="J533" s="280"/>
      <c r="K533" s="280"/>
      <c r="L533" s="281"/>
      <c r="M533" s="281">
        <v>4.6189999999999998</v>
      </c>
      <c r="N533" s="281">
        <v>3.8780000000000001</v>
      </c>
      <c r="O533" s="281">
        <v>4.5730000000000004</v>
      </c>
      <c r="P533" s="313">
        <v>3.79</v>
      </c>
      <c r="Q533" s="313">
        <f>AVERAGE(N533,O533,P533)</f>
        <v>4.0803333333333329</v>
      </c>
      <c r="R533" s="313">
        <f>AVERAGE(O533,P533,Q533)</f>
        <v>4.1477777777777769</v>
      </c>
      <c r="S533" s="313">
        <f>AVERAGE(Q533,R533,P533)</f>
        <v>4.0060370370370366</v>
      </c>
      <c r="T533" s="313">
        <f>AVERAGE(Q533,S533,R533)</f>
        <v>4.0780493827160491</v>
      </c>
      <c r="U533" s="313">
        <f>T533*1.01</f>
        <v>4.1188298765432094</v>
      </c>
      <c r="V533" s="313">
        <f>AVERAGE(R533,T533,S533)</f>
        <v>4.0772880658436206</v>
      </c>
      <c r="W533" s="313">
        <f>V533*1.01</f>
        <v>4.118060946502057</v>
      </c>
      <c r="X533" s="313">
        <f>AVERAGE(S533,V533,T533)</f>
        <v>4.0537914951989018</v>
      </c>
      <c r="Y533" s="313">
        <f>X533*1.01</f>
        <v>4.0943294101508911</v>
      </c>
      <c r="AN533" s="316" t="e">
        <f>#REF!-#REF!</f>
        <v>#REF!</v>
      </c>
      <c r="AO533" s="323" t="e">
        <f>#REF!/#REF!-100%</f>
        <v>#REF!</v>
      </c>
    </row>
    <row r="534" spans="1:41" ht="21" hidden="1" x14ac:dyDescent="0.2">
      <c r="A534" s="260" t="s">
        <v>1120</v>
      </c>
      <c r="B534" s="261" t="s">
        <v>448</v>
      </c>
      <c r="C534" s="282">
        <v>1</v>
      </c>
      <c r="D534" s="293"/>
      <c r="E534" s="293"/>
      <c r="F534" s="293"/>
      <c r="G534" s="294" t="s">
        <v>704</v>
      </c>
      <c r="H534" s="280"/>
      <c r="I534" s="280"/>
      <c r="J534" s="280"/>
      <c r="K534" s="280"/>
      <c r="L534" s="281"/>
      <c r="M534" s="281"/>
      <c r="N534" s="281"/>
      <c r="O534" s="281"/>
      <c r="P534" s="313"/>
      <c r="Q534" s="313"/>
      <c r="R534" s="313"/>
      <c r="S534" s="313"/>
      <c r="T534" s="313"/>
      <c r="U534" s="313"/>
      <c r="V534" s="313"/>
      <c r="W534" s="313"/>
      <c r="X534" s="313"/>
      <c r="Y534" s="313"/>
      <c r="AN534" s="316" t="e">
        <f>#REF!-#REF!</f>
        <v>#REF!</v>
      </c>
      <c r="AO534" s="323" t="e">
        <f>#REF!/#REF!-100%</f>
        <v>#REF!</v>
      </c>
    </row>
    <row r="535" spans="1:41" ht="14.25" x14ac:dyDescent="0.2">
      <c r="A535" s="292" t="s">
        <v>263</v>
      </c>
      <c r="B535" s="261"/>
      <c r="C535" s="282">
        <v>1</v>
      </c>
      <c r="D535" s="293"/>
      <c r="E535" s="293"/>
      <c r="F535" s="293"/>
      <c r="G535" s="294" t="s">
        <v>704</v>
      </c>
      <c r="H535" s="280"/>
      <c r="I535" s="280"/>
      <c r="J535" s="280"/>
      <c r="K535" s="280"/>
      <c r="L535" s="281"/>
      <c r="M535" s="281"/>
      <c r="N535" s="281"/>
      <c r="O535" s="281"/>
      <c r="P535" s="313"/>
      <c r="Q535" s="313"/>
      <c r="R535" s="313"/>
      <c r="S535" s="313"/>
      <c r="T535" s="313"/>
      <c r="U535" s="313"/>
      <c r="V535" s="313"/>
      <c r="W535" s="313"/>
      <c r="X535" s="313"/>
      <c r="Y535" s="313"/>
      <c r="AN535" s="316" t="e">
        <f>#REF!-#REF!</f>
        <v>#REF!</v>
      </c>
      <c r="AO535" s="323" t="e">
        <f>#REF!/#REF!-100%</f>
        <v>#REF!</v>
      </c>
    </row>
    <row r="536" spans="1:41" ht="29.25" customHeight="1" x14ac:dyDescent="0.2">
      <c r="A536" s="260" t="s">
        <v>1122</v>
      </c>
      <c r="B536" s="261"/>
      <c r="C536" s="282"/>
      <c r="D536" s="293"/>
      <c r="E536" s="293"/>
      <c r="F536" s="293"/>
      <c r="G536" s="294"/>
      <c r="H536" s="280"/>
      <c r="I536" s="280"/>
      <c r="J536" s="280"/>
      <c r="K536" s="280"/>
      <c r="L536" s="281"/>
      <c r="M536" s="281"/>
      <c r="N536" s="281"/>
      <c r="O536" s="281"/>
      <c r="P536" s="313"/>
      <c r="Q536" s="313"/>
      <c r="R536" s="313"/>
      <c r="S536" s="313"/>
      <c r="T536" s="313"/>
      <c r="U536" s="313"/>
      <c r="V536" s="313"/>
      <c r="W536" s="313"/>
      <c r="X536" s="313"/>
      <c r="Y536" s="313"/>
      <c r="AN536" s="316"/>
      <c r="AO536" s="323"/>
    </row>
    <row r="537" spans="1:41" x14ac:dyDescent="0.2">
      <c r="A537" s="260" t="s">
        <v>1121</v>
      </c>
      <c r="B537" s="261" t="s">
        <v>837</v>
      </c>
      <c r="C537" s="282">
        <v>1</v>
      </c>
      <c r="D537" s="293"/>
      <c r="E537" s="293"/>
      <c r="F537" s="293"/>
      <c r="G537" s="294" t="s">
        <v>705</v>
      </c>
      <c r="H537" s="280"/>
      <c r="I537" s="280"/>
      <c r="J537" s="280"/>
      <c r="K537" s="280"/>
      <c r="L537" s="281">
        <v>0.64</v>
      </c>
      <c r="M537" s="281">
        <v>1.8</v>
      </c>
      <c r="N537" s="281">
        <v>2</v>
      </c>
      <c r="O537" s="281">
        <f>1.366+0.072+0.2</f>
        <v>1.6380000000000001</v>
      </c>
      <c r="P537" s="422">
        <v>0.85</v>
      </c>
      <c r="Q537" s="422">
        <v>0.9</v>
      </c>
      <c r="R537" s="422">
        <v>0.87</v>
      </c>
      <c r="S537" s="422">
        <v>0.6</v>
      </c>
      <c r="T537" s="422">
        <v>0.6</v>
      </c>
      <c r="U537" s="422">
        <f>T537*1.1</f>
        <v>0.66</v>
      </c>
      <c r="V537" s="422">
        <v>0.6</v>
      </c>
      <c r="W537" s="422">
        <f>V537*1.1</f>
        <v>0.66</v>
      </c>
      <c r="X537" s="422">
        <v>0.6</v>
      </c>
      <c r="Y537" s="422">
        <f>X537*1.1</f>
        <v>0.66</v>
      </c>
      <c r="AN537" s="316" t="e">
        <f>#REF!-#REF!</f>
        <v>#REF!</v>
      </c>
      <c r="AO537" s="323" t="e">
        <f>#REF!/#REF!-100%</f>
        <v>#REF!</v>
      </c>
    </row>
    <row r="538" spans="1:41" hidden="1" x14ac:dyDescent="0.2">
      <c r="A538" s="260" t="s">
        <v>1123</v>
      </c>
      <c r="B538" s="261" t="s">
        <v>837</v>
      </c>
      <c r="C538" s="282">
        <v>1</v>
      </c>
      <c r="D538" s="293"/>
      <c r="E538" s="293"/>
      <c r="F538" s="293"/>
      <c r="G538" s="294" t="s">
        <v>705</v>
      </c>
      <c r="H538" s="280"/>
      <c r="I538" s="280"/>
      <c r="J538" s="280"/>
      <c r="K538" s="280"/>
      <c r="L538" s="423"/>
      <c r="M538" s="424"/>
      <c r="N538" s="424"/>
      <c r="O538" s="424"/>
      <c r="P538" s="424"/>
      <c r="Q538" s="424"/>
      <c r="R538" s="424"/>
      <c r="S538" s="424"/>
      <c r="T538" s="424"/>
      <c r="U538" s="424"/>
      <c r="V538" s="424"/>
      <c r="W538" s="424"/>
      <c r="X538" s="424"/>
      <c r="Y538" s="424"/>
      <c r="AN538" s="316">
        <f>Q540-P540</f>
        <v>0</v>
      </c>
      <c r="AO538" s="323" t="e">
        <f>Q540/P540-100%</f>
        <v>#DIV/0!</v>
      </c>
    </row>
    <row r="539" spans="1:41" hidden="1" x14ac:dyDescent="0.2">
      <c r="A539" s="260" t="s">
        <v>1124</v>
      </c>
      <c r="B539" s="261" t="s">
        <v>837</v>
      </c>
      <c r="C539" s="282">
        <v>1</v>
      </c>
      <c r="D539" s="293"/>
      <c r="E539" s="293"/>
      <c r="F539" s="293"/>
      <c r="G539" s="294" t="s">
        <v>705</v>
      </c>
      <c r="H539" s="280"/>
      <c r="I539" s="280"/>
      <c r="J539" s="280"/>
      <c r="K539" s="280"/>
      <c r="L539" s="281">
        <v>0.39</v>
      </c>
      <c r="M539" s="281">
        <v>1.1000000000000001</v>
      </c>
      <c r="N539" s="281">
        <v>1.22</v>
      </c>
      <c r="O539" s="281">
        <f>0.853+0.02</f>
        <v>0.873</v>
      </c>
      <c r="P539" s="422">
        <v>0.54</v>
      </c>
      <c r="Q539" s="422"/>
      <c r="R539" s="422"/>
      <c r="S539" s="422"/>
      <c r="T539" s="422"/>
      <c r="U539" s="422"/>
      <c r="V539" s="422"/>
      <c r="W539" s="422"/>
      <c r="X539" s="422"/>
      <c r="Y539" s="422"/>
      <c r="AN539" s="316" t="e">
        <f>#REF!-#REF!</f>
        <v>#REF!</v>
      </c>
      <c r="AO539" s="323" t="e">
        <f>#REF!/#REF!-100%</f>
        <v>#REF!</v>
      </c>
    </row>
    <row r="540" spans="1:41" ht="21" hidden="1" x14ac:dyDescent="0.2">
      <c r="A540" s="260" t="s">
        <v>1125</v>
      </c>
      <c r="B540" s="261"/>
      <c r="C540" s="282">
        <v>1</v>
      </c>
      <c r="D540" s="293"/>
      <c r="E540" s="293"/>
      <c r="F540" s="293"/>
      <c r="G540" s="294" t="s">
        <v>706</v>
      </c>
      <c r="H540" s="280"/>
      <c r="I540" s="280"/>
      <c r="J540" s="280"/>
      <c r="K540" s="280"/>
      <c r="L540" s="281"/>
      <c r="M540" s="281"/>
      <c r="N540" s="281"/>
      <c r="O540" s="281"/>
      <c r="P540" s="422"/>
      <c r="Q540" s="422"/>
      <c r="R540" s="422"/>
      <c r="S540" s="422"/>
      <c r="T540" s="422"/>
      <c r="U540" s="422"/>
      <c r="V540" s="422"/>
      <c r="W540" s="422"/>
      <c r="X540" s="422"/>
      <c r="Y540" s="422"/>
      <c r="AN540" s="316">
        <f>Q579-P579</f>
        <v>0</v>
      </c>
      <c r="AO540" s="323" t="e">
        <f>Q579/P579-100%</f>
        <v>#DIV/0!</v>
      </c>
    </row>
    <row r="541" spans="1:41" hidden="1" x14ac:dyDescent="0.2">
      <c r="A541" s="260" t="s">
        <v>1121</v>
      </c>
      <c r="B541" s="261" t="s">
        <v>837</v>
      </c>
      <c r="C541" s="282">
        <v>1</v>
      </c>
      <c r="D541" s="293"/>
      <c r="E541" s="293"/>
      <c r="F541" s="293"/>
      <c r="G541" s="294" t="s">
        <v>706</v>
      </c>
      <c r="H541" s="280"/>
      <c r="I541" s="280"/>
      <c r="J541" s="280"/>
      <c r="K541" s="280"/>
      <c r="L541" s="423"/>
      <c r="M541" s="424"/>
      <c r="N541" s="424"/>
      <c r="O541" s="424"/>
      <c r="P541" s="424"/>
      <c r="Q541" s="424"/>
      <c r="R541" s="424"/>
      <c r="S541" s="424"/>
      <c r="T541" s="424"/>
      <c r="U541" s="424"/>
      <c r="V541" s="424"/>
      <c r="W541" s="424"/>
      <c r="X541" s="424"/>
      <c r="Y541" s="424"/>
      <c r="AN541" s="316">
        <f>Q580-P580</f>
        <v>105.6</v>
      </c>
      <c r="AO541" s="323" t="e">
        <f>Q580/P580-100%</f>
        <v>#DIV/0!</v>
      </c>
    </row>
    <row r="542" spans="1:41" hidden="1" x14ac:dyDescent="0.2">
      <c r="A542" s="260" t="s">
        <v>1123</v>
      </c>
      <c r="B542" s="261" t="s">
        <v>837</v>
      </c>
      <c r="C542" s="282">
        <v>1</v>
      </c>
      <c r="D542" s="293"/>
      <c r="E542" s="293"/>
      <c r="F542" s="293"/>
      <c r="G542" s="294" t="s">
        <v>706</v>
      </c>
      <c r="H542" s="280"/>
      <c r="I542" s="280"/>
      <c r="J542" s="280"/>
      <c r="K542" s="280"/>
      <c r="L542" s="281"/>
      <c r="M542" s="281"/>
      <c r="N542" s="281"/>
      <c r="O542" s="281"/>
      <c r="P542" s="313"/>
      <c r="Q542" s="313"/>
      <c r="R542" s="313"/>
      <c r="S542" s="313"/>
      <c r="T542" s="313"/>
      <c r="U542" s="313"/>
      <c r="V542" s="313"/>
      <c r="W542" s="313"/>
      <c r="X542" s="313"/>
      <c r="Y542" s="313"/>
      <c r="AN542" s="316">
        <f>Q582-P582</f>
        <v>121.8</v>
      </c>
      <c r="AO542" s="323" t="e">
        <f>Q582/P582-100%</f>
        <v>#DIV/0!</v>
      </c>
    </row>
    <row r="543" spans="1:41" hidden="1" x14ac:dyDescent="0.2">
      <c r="A543" s="260" t="s">
        <v>1124</v>
      </c>
      <c r="B543" s="261" t="s">
        <v>837</v>
      </c>
      <c r="C543" s="282">
        <v>1</v>
      </c>
      <c r="D543" s="293"/>
      <c r="E543" s="293"/>
      <c r="F543" s="293"/>
      <c r="G543" s="294" t="s">
        <v>706</v>
      </c>
      <c r="H543" s="280"/>
      <c r="I543" s="280"/>
      <c r="J543" s="280"/>
      <c r="K543" s="280"/>
      <c r="L543" s="281"/>
      <c r="M543" s="281"/>
      <c r="N543" s="281"/>
      <c r="O543" s="281"/>
      <c r="P543" s="313"/>
      <c r="Q543" s="313"/>
      <c r="R543" s="313"/>
      <c r="S543" s="313"/>
      <c r="T543" s="313"/>
      <c r="U543" s="313"/>
      <c r="V543" s="313"/>
      <c r="W543" s="313"/>
      <c r="X543" s="313"/>
      <c r="Y543" s="313"/>
      <c r="AN543" s="316">
        <f>Q583-P583</f>
        <v>100</v>
      </c>
      <c r="AO543" s="323" t="e">
        <f>Q583/P583-100%</f>
        <v>#DIV/0!</v>
      </c>
    </row>
    <row r="544" spans="1:41" hidden="1" x14ac:dyDescent="0.2"/>
    <row r="545" spans="1:39" hidden="1" x14ac:dyDescent="0.2"/>
    <row r="546" spans="1:39" hidden="1" x14ac:dyDescent="0.2"/>
    <row r="547" spans="1:39" hidden="1" x14ac:dyDescent="0.2"/>
    <row r="548" spans="1:39" hidden="1" x14ac:dyDescent="0.2"/>
    <row r="549" spans="1:39" hidden="1" x14ac:dyDescent="0.2"/>
    <row r="550" spans="1:39" hidden="1" x14ac:dyDescent="0.2"/>
    <row r="551" spans="1:39" hidden="1" x14ac:dyDescent="0.2"/>
    <row r="552" spans="1:39" hidden="1" x14ac:dyDescent="0.2"/>
    <row r="553" spans="1:39" x14ac:dyDescent="0.2">
      <c r="A553" s="457"/>
      <c r="B553" s="458"/>
      <c r="H553" s="316"/>
      <c r="I553" s="316"/>
      <c r="J553" s="316"/>
      <c r="K553" s="316"/>
      <c r="L553" s="459"/>
      <c r="M553" s="459"/>
      <c r="N553" s="459"/>
      <c r="O553" s="459"/>
      <c r="P553" s="460"/>
      <c r="Q553" s="460"/>
      <c r="R553" s="460"/>
      <c r="S553" s="460"/>
      <c r="T553" s="460"/>
      <c r="U553" s="460"/>
      <c r="V553" s="460"/>
      <c r="W553" s="460"/>
      <c r="X553" s="460"/>
      <c r="Y553" s="460"/>
      <c r="Z553" s="267"/>
      <c r="AA553" s="267"/>
      <c r="AB553" s="267"/>
      <c r="AC553" s="267"/>
      <c r="AD553" s="267"/>
      <c r="AE553" s="267"/>
      <c r="AF553" s="267"/>
      <c r="AG553" s="267"/>
      <c r="AH553" s="267"/>
      <c r="AI553" s="267"/>
      <c r="AJ553" s="267"/>
      <c r="AK553" s="267"/>
      <c r="AL553" s="267"/>
      <c r="AM553" s="267"/>
    </row>
    <row r="554" spans="1:39" ht="18.75" x14ac:dyDescent="0.3">
      <c r="A554" s="580" t="s">
        <v>1141</v>
      </c>
      <c r="B554" s="580"/>
      <c r="C554" s="473"/>
      <c r="D554" s="473"/>
      <c r="E554" s="474"/>
      <c r="F554" s="473"/>
      <c r="G554" s="475"/>
      <c r="H554" s="476"/>
      <c r="I554" s="476"/>
      <c r="J554" s="476"/>
      <c r="K554" s="476"/>
      <c r="L554" s="476"/>
      <c r="M554" s="476"/>
      <c r="N554" s="476"/>
      <c r="O554" s="476"/>
      <c r="P554" s="476"/>
      <c r="Q554" s="472"/>
      <c r="R554" s="472"/>
      <c r="Z554" s="267"/>
      <c r="AA554" s="267"/>
      <c r="AB554" s="267"/>
      <c r="AC554" s="267"/>
      <c r="AD554" s="267"/>
      <c r="AE554" s="267"/>
      <c r="AF554" s="267"/>
      <c r="AG554" s="267"/>
      <c r="AH554" s="267"/>
      <c r="AI554" s="267"/>
      <c r="AJ554" s="267"/>
      <c r="AK554" s="267"/>
      <c r="AL554" s="267"/>
      <c r="AM554" s="267"/>
    </row>
    <row r="555" spans="1:39" ht="18.75" x14ac:dyDescent="0.3">
      <c r="A555" s="580" t="s">
        <v>1139</v>
      </c>
      <c r="B555" s="580"/>
      <c r="C555" s="31"/>
      <c r="D555" s="561"/>
      <c r="E555" s="561"/>
      <c r="F555" s="561"/>
      <c r="G555" s="561"/>
      <c r="H555" s="561"/>
      <c r="I555" s="561"/>
      <c r="J555" s="578" t="s">
        <v>1142</v>
      </c>
      <c r="K555" s="578"/>
      <c r="M555" s="561"/>
      <c r="N555" s="561"/>
      <c r="O555" s="561"/>
      <c r="P555" s="561"/>
      <c r="Q555" s="561"/>
      <c r="R555" s="561"/>
      <c r="X555" s="578" t="s">
        <v>1142</v>
      </c>
      <c r="Y555" s="578"/>
      <c r="Z555" s="267"/>
      <c r="AA555" s="267"/>
      <c r="AB555" s="267"/>
      <c r="AC555" s="267"/>
      <c r="AD555" s="267"/>
      <c r="AE555" s="267"/>
      <c r="AF555" s="267"/>
      <c r="AG555" s="267"/>
      <c r="AH555" s="267"/>
      <c r="AI555" s="267"/>
      <c r="AJ555" s="267"/>
      <c r="AK555" s="267"/>
      <c r="AL555" s="267"/>
      <c r="AM555" s="267"/>
    </row>
    <row r="556" spans="1:39" ht="11.25" x14ac:dyDescent="0.2">
      <c r="B556" s="267"/>
      <c r="C556" s="316"/>
      <c r="D556" s="316"/>
      <c r="E556" s="316"/>
      <c r="F556" s="316"/>
      <c r="G556" s="316"/>
      <c r="H556" s="316"/>
      <c r="I556" s="316"/>
      <c r="J556" s="316"/>
      <c r="K556" s="316"/>
      <c r="Z556" s="267"/>
      <c r="AA556" s="267"/>
      <c r="AB556" s="267"/>
      <c r="AC556" s="267"/>
      <c r="AD556" s="267"/>
      <c r="AE556" s="267"/>
      <c r="AF556" s="267"/>
      <c r="AG556" s="267"/>
      <c r="AH556" s="267"/>
      <c r="AI556" s="267"/>
      <c r="AJ556" s="267"/>
      <c r="AK556" s="267"/>
      <c r="AL556" s="267"/>
      <c r="AM556" s="267"/>
    </row>
    <row r="557" spans="1:39" ht="11.25" x14ac:dyDescent="0.2">
      <c r="B557" s="267"/>
      <c r="C557" s="316"/>
      <c r="D557" s="316"/>
      <c r="E557" s="316"/>
      <c r="F557" s="316"/>
      <c r="G557" s="316"/>
      <c r="H557" s="316"/>
      <c r="I557" s="316"/>
      <c r="J557" s="316"/>
      <c r="K557" s="316"/>
      <c r="Z557" s="267"/>
      <c r="AA557" s="267"/>
      <c r="AB557" s="267"/>
      <c r="AC557" s="267"/>
      <c r="AD557" s="267"/>
      <c r="AE557" s="267"/>
      <c r="AF557" s="267"/>
      <c r="AG557" s="267"/>
      <c r="AH557" s="267"/>
      <c r="AI557" s="267"/>
      <c r="AJ557" s="267"/>
      <c r="AK557" s="267"/>
      <c r="AL557" s="267"/>
      <c r="AM557" s="267"/>
    </row>
    <row r="558" spans="1:39" ht="11.25" hidden="1" customHeight="1" x14ac:dyDescent="0.2">
      <c r="H558" s="316"/>
      <c r="I558" s="316"/>
      <c r="J558" s="316"/>
      <c r="K558" s="316"/>
      <c r="L558" s="316"/>
      <c r="M558" s="316"/>
      <c r="N558" s="316"/>
      <c r="O558" s="316"/>
      <c r="P558" s="316"/>
      <c r="Q558" s="316"/>
      <c r="R558" s="316"/>
      <c r="S558" s="316"/>
      <c r="T558" s="316"/>
      <c r="U558" s="316"/>
      <c r="V558" s="316"/>
      <c r="W558" s="316"/>
      <c r="X558" s="316"/>
      <c r="Y558" s="316"/>
      <c r="Z558" s="267"/>
      <c r="AA558" s="267"/>
      <c r="AB558" s="267"/>
      <c r="AC558" s="267"/>
      <c r="AD558" s="267"/>
      <c r="AE558" s="267"/>
      <c r="AF558" s="267"/>
      <c r="AG558" s="267"/>
      <c r="AH558" s="267"/>
      <c r="AI558" s="267"/>
      <c r="AJ558" s="267"/>
      <c r="AK558" s="267"/>
      <c r="AL558" s="267"/>
      <c r="AM558" s="267"/>
    </row>
    <row r="559" spans="1:39" ht="11.25" hidden="1" customHeight="1" x14ac:dyDescent="0.2">
      <c r="H559" s="316"/>
      <c r="I559" s="316"/>
      <c r="J559" s="316"/>
      <c r="K559" s="316"/>
      <c r="L559" s="443">
        <v>113.3</v>
      </c>
      <c r="M559" s="443">
        <v>108.8</v>
      </c>
      <c r="N559" s="443">
        <v>108.8</v>
      </c>
      <c r="O559" s="443">
        <v>106.1</v>
      </c>
      <c r="P559" s="443">
        <v>106.6</v>
      </c>
      <c r="Q559" s="443">
        <v>106.5</v>
      </c>
      <c r="R559" s="443">
        <v>106.3</v>
      </c>
      <c r="S559" s="443">
        <v>111.5</v>
      </c>
      <c r="T559" s="443">
        <v>106.2</v>
      </c>
      <c r="U559" s="443">
        <v>106</v>
      </c>
      <c r="V559" s="443">
        <v>106</v>
      </c>
      <c r="W559" s="443">
        <v>105.6</v>
      </c>
      <c r="X559" s="443">
        <v>105</v>
      </c>
      <c r="Y559" s="443">
        <v>104.9</v>
      </c>
      <c r="Z559" s="267"/>
      <c r="AA559" s="267"/>
      <c r="AB559" s="267"/>
      <c r="AC559" s="267"/>
      <c r="AD559" s="267"/>
      <c r="AE559" s="267"/>
      <c r="AF559" s="267"/>
      <c r="AG559" s="267"/>
      <c r="AH559" s="267"/>
      <c r="AI559" s="267"/>
      <c r="AJ559" s="267"/>
      <c r="AK559" s="267"/>
      <c r="AL559" s="267"/>
      <c r="AM559" s="267"/>
    </row>
    <row r="560" spans="1:39" ht="11.25" hidden="1" customHeight="1" x14ac:dyDescent="0.2">
      <c r="H560" s="316"/>
      <c r="I560" s="316"/>
      <c r="J560" s="316"/>
      <c r="K560" s="316"/>
      <c r="L560" s="316"/>
      <c r="M560" s="316"/>
      <c r="N560" s="316"/>
      <c r="O560" s="316"/>
      <c r="P560" s="316"/>
      <c r="Q560" s="316"/>
      <c r="R560" s="316"/>
      <c r="S560" s="316"/>
      <c r="T560" s="316"/>
      <c r="U560" s="316"/>
      <c r="V560" s="316"/>
      <c r="W560" s="316"/>
      <c r="X560" s="316"/>
      <c r="Y560" s="316"/>
      <c r="Z560" s="267"/>
      <c r="AA560" s="267"/>
      <c r="AB560" s="267"/>
      <c r="AC560" s="267"/>
      <c r="AD560" s="267"/>
      <c r="AE560" s="267"/>
      <c r="AF560" s="267"/>
      <c r="AG560" s="267"/>
      <c r="AH560" s="267"/>
      <c r="AI560" s="267"/>
      <c r="AJ560" s="267"/>
      <c r="AK560" s="267"/>
      <c r="AL560" s="267"/>
      <c r="AM560" s="267"/>
    </row>
    <row r="561" spans="1:41" s="266" customFormat="1" ht="31.5" hidden="1" customHeight="1" x14ac:dyDescent="0.2">
      <c r="A561" s="264" t="s">
        <v>568</v>
      </c>
      <c r="B561" s="265" t="s">
        <v>611</v>
      </c>
      <c r="C561" s="295">
        <v>1</v>
      </c>
      <c r="D561" s="296"/>
      <c r="E561" s="296"/>
      <c r="F561" s="296"/>
      <c r="G561" s="297" t="s">
        <v>705</v>
      </c>
      <c r="H561" s="298"/>
      <c r="I561" s="298"/>
      <c r="J561" s="298"/>
      <c r="K561" s="298"/>
      <c r="L561" s="306">
        <f>18150/1000</f>
        <v>18.149999999999999</v>
      </c>
      <c r="M561" s="306">
        <v>17.738</v>
      </c>
      <c r="N561" s="306">
        <f>18150/1000</f>
        <v>18.149999999999999</v>
      </c>
      <c r="O561" s="306">
        <f>18606/1000</f>
        <v>18.606000000000002</v>
      </c>
      <c r="P561" s="322">
        <v>19.148</v>
      </c>
      <c r="Q561" s="322">
        <v>19.684000000000001</v>
      </c>
      <c r="R561" s="322">
        <v>19.843</v>
      </c>
      <c r="S561" s="322">
        <f>AVERAGE(P561/O561,Q561/P561,R561/Q561)*R561</f>
        <v>20.274257801990579</v>
      </c>
      <c r="T561" s="322">
        <f>S561*1.02</f>
        <v>20.679742958030392</v>
      </c>
      <c r="U561" s="322">
        <f>T561</f>
        <v>20.679742958030392</v>
      </c>
      <c r="V561" s="322">
        <f>T561*1.02</f>
        <v>21.093337817190999</v>
      </c>
      <c r="W561" s="322">
        <f>V561</f>
        <v>21.093337817190999</v>
      </c>
      <c r="X561" s="322">
        <f>V561*1.02</f>
        <v>21.51520457353482</v>
      </c>
      <c r="Y561" s="322">
        <f>X561</f>
        <v>21.51520457353482</v>
      </c>
      <c r="AN561" s="316">
        <f>Q561-P561</f>
        <v>0.53600000000000136</v>
      </c>
      <c r="AO561" s="323">
        <f>Q561/P561-100%</f>
        <v>2.7992479632337641E-2</v>
      </c>
    </row>
    <row r="562" spans="1:41" ht="11.25" hidden="1" customHeight="1" x14ac:dyDescent="0.2">
      <c r="H562" s="316"/>
      <c r="I562" s="316"/>
      <c r="J562" s="316"/>
      <c r="K562" s="316"/>
      <c r="L562" s="316"/>
      <c r="M562" s="316"/>
      <c r="N562" s="316"/>
      <c r="O562" s="316"/>
      <c r="P562" s="316"/>
      <c r="Q562" s="316"/>
      <c r="R562" s="316"/>
      <c r="S562" s="316"/>
      <c r="T562" s="316"/>
      <c r="U562" s="316"/>
      <c r="V562" s="316"/>
      <c r="W562" s="316"/>
      <c r="X562" s="316"/>
      <c r="Y562" s="316"/>
      <c r="Z562" s="267"/>
      <c r="AA562" s="267"/>
      <c r="AB562" s="267"/>
      <c r="AC562" s="267"/>
      <c r="AD562" s="267"/>
      <c r="AE562" s="267"/>
      <c r="AF562" s="267"/>
      <c r="AG562" s="267"/>
      <c r="AH562" s="267"/>
      <c r="AI562" s="267"/>
      <c r="AJ562" s="267"/>
      <c r="AK562" s="267"/>
      <c r="AL562" s="267"/>
      <c r="AM562" s="267"/>
    </row>
    <row r="563" spans="1:41" s="573" customFormat="1" ht="12.75" hidden="1" customHeight="1" x14ac:dyDescent="0.2">
      <c r="A563" s="562" t="s">
        <v>576</v>
      </c>
      <c r="B563" s="563" t="s">
        <v>837</v>
      </c>
      <c r="C563" s="564">
        <v>1</v>
      </c>
      <c r="D563" s="565"/>
      <c r="E563" s="565"/>
      <c r="F563" s="565"/>
      <c r="G563" s="566" t="s">
        <v>705</v>
      </c>
      <c r="H563" s="567"/>
      <c r="I563" s="567"/>
      <c r="J563" s="567"/>
      <c r="K563" s="567"/>
      <c r="L563" s="568">
        <v>41.082000000000001</v>
      </c>
      <c r="M563" s="568">
        <v>40.033999999999999</v>
      </c>
      <c r="N563" s="568">
        <v>39.305999999999997</v>
      </c>
      <c r="O563" s="568">
        <v>38.610999999999997</v>
      </c>
      <c r="P563" s="568">
        <v>37.793999999999997</v>
      </c>
      <c r="Q563" s="568">
        <v>36.673999999999999</v>
      </c>
      <c r="R563" s="568">
        <v>35.634999999999998</v>
      </c>
      <c r="S563" s="568">
        <f>R563*AVERAGE(R563/Q563,Q563/P563,P563/O563)</f>
        <v>34.695129201839556</v>
      </c>
      <c r="T563" s="568">
        <f>S563*AVERAGE(S563/R563,R563/Q563,Q563/P563)</f>
        <v>33.719733866313035</v>
      </c>
      <c r="U563" s="568">
        <f>T563*1.001</f>
        <v>33.753453600179341</v>
      </c>
      <c r="V563" s="568">
        <f>T563*AVERAGE(T563/S563,S563/R563,R563/Q563)</f>
        <v>32.788856169223905</v>
      </c>
      <c r="W563" s="568">
        <f>V563*1.001</f>
        <v>32.821645025393124</v>
      </c>
      <c r="X563" s="568">
        <f>V563*AVERAGE(V563/T563,T563/S563,S563/R563)</f>
        <v>31.891593769244988</v>
      </c>
      <c r="Y563" s="568">
        <f>X563*1.001</f>
        <v>31.92348536301423</v>
      </c>
      <c r="Z563" s="569" t="s">
        <v>244</v>
      </c>
      <c r="AA563" s="570"/>
      <c r="AB563" s="570"/>
      <c r="AC563" s="570"/>
      <c r="AD563" s="570"/>
      <c r="AE563" s="570"/>
      <c r="AF563" s="570"/>
      <c r="AG563" s="570"/>
      <c r="AH563" s="570"/>
      <c r="AI563" s="570"/>
      <c r="AJ563" s="570"/>
      <c r="AK563" s="570"/>
      <c r="AL563" s="570"/>
      <c r="AM563" s="570"/>
      <c r="AN563" s="571">
        <f>Q564-P564</f>
        <v>-0.41200000000000003</v>
      </c>
      <c r="AO563" s="572">
        <f>Q564/P564-100%</f>
        <v>-0.45625692137320051</v>
      </c>
    </row>
    <row r="564" spans="1:41" s="266" customFormat="1" ht="21" hidden="1" customHeight="1" x14ac:dyDescent="0.2">
      <c r="A564" s="260" t="s">
        <v>222</v>
      </c>
      <c r="B564" s="261" t="s">
        <v>837</v>
      </c>
      <c r="C564" s="295">
        <v>1</v>
      </c>
      <c r="D564" s="550"/>
      <c r="E564" s="550"/>
      <c r="F564" s="550"/>
      <c r="G564" s="297" t="s">
        <v>705</v>
      </c>
      <c r="H564" s="298"/>
      <c r="I564" s="298"/>
      <c r="J564" s="298"/>
      <c r="K564" s="298"/>
      <c r="L564" s="281">
        <v>1.62</v>
      </c>
      <c r="M564" s="281">
        <f>(M506+M507+300)/1000</f>
        <v>0.30177300000000001</v>
      </c>
      <c r="N564" s="281">
        <f>(N506+N507+300)/1000</f>
        <v>0.301676</v>
      </c>
      <c r="O564" s="281">
        <f>(O506+O507+300)/1000</f>
        <v>0.301431</v>
      </c>
      <c r="P564" s="313">
        <f>(245+625+33)/1000</f>
        <v>0.90300000000000002</v>
      </c>
      <c r="Q564" s="313">
        <f>(250+208+33)/1000</f>
        <v>0.49099999999999999</v>
      </c>
      <c r="R564" s="313">
        <f>(250+201+50)/1000</f>
        <v>0.501</v>
      </c>
      <c r="S564" s="313">
        <f>(296+207+50)/1000</f>
        <v>0.55300000000000005</v>
      </c>
      <c r="T564" s="313">
        <f>(321+207+50)/1000</f>
        <v>0.57799999999999996</v>
      </c>
      <c r="U564" s="313">
        <f>T564*1.001</f>
        <v>0.57857799999999993</v>
      </c>
      <c r="V564" s="313">
        <f>(321+207+50)/1000</f>
        <v>0.57799999999999996</v>
      </c>
      <c r="W564" s="313">
        <f>V564*1.001</f>
        <v>0.57857799999999993</v>
      </c>
      <c r="X564" s="313">
        <f>(321+207+50)/1000</f>
        <v>0.57799999999999996</v>
      </c>
      <c r="Y564" s="313">
        <f>X564*1.001</f>
        <v>0.57857799999999993</v>
      </c>
      <c r="Z564" s="551"/>
      <c r="AN564" s="316">
        <f>Q502-P502</f>
        <v>334</v>
      </c>
      <c r="AO564" s="323">
        <f>Q502/P502-100%</f>
        <v>9.5183813052151622E-2</v>
      </c>
    </row>
    <row r="565" spans="1:41" ht="11.25" hidden="1" customHeight="1" x14ac:dyDescent="0.2">
      <c r="H565" s="316"/>
      <c r="I565" s="316"/>
      <c r="J565" s="316"/>
      <c r="K565" s="316"/>
      <c r="L565" s="316"/>
      <c r="M565" s="316"/>
      <c r="N565" s="316"/>
      <c r="O565" s="316"/>
      <c r="P565" s="316"/>
      <c r="Q565" s="316"/>
      <c r="R565" s="316"/>
      <c r="S565" s="316"/>
      <c r="T565" s="316"/>
      <c r="U565" s="316"/>
      <c r="V565" s="316"/>
      <c r="W565" s="316"/>
      <c r="X565" s="316"/>
      <c r="Y565" s="316"/>
      <c r="Z565" s="267"/>
      <c r="AA565" s="267"/>
      <c r="AB565" s="267"/>
      <c r="AC565" s="267"/>
      <c r="AD565" s="267"/>
      <c r="AE565" s="267"/>
      <c r="AF565" s="267"/>
      <c r="AG565" s="267"/>
      <c r="AH565" s="267"/>
      <c r="AI565" s="267"/>
      <c r="AJ565" s="267"/>
      <c r="AK565" s="267"/>
      <c r="AL565" s="267"/>
      <c r="AM565" s="267"/>
    </row>
    <row r="566" spans="1:41" ht="63" hidden="1" customHeight="1" x14ac:dyDescent="0.2">
      <c r="A566" s="264" t="s">
        <v>281</v>
      </c>
      <c r="B566" s="265" t="s">
        <v>599</v>
      </c>
      <c r="C566" s="282">
        <v>1</v>
      </c>
      <c r="D566" s="293"/>
      <c r="E566" s="293"/>
      <c r="F566" s="293"/>
      <c r="G566" s="294" t="s">
        <v>705</v>
      </c>
      <c r="H566" s="280"/>
      <c r="I566" s="280"/>
      <c r="J566" s="280"/>
      <c r="K566" s="280"/>
      <c r="L566" s="574">
        <v>91.83</v>
      </c>
      <c r="M566" s="575">
        <f>5.874/M504*100</f>
        <v>92.141176470588221</v>
      </c>
      <c r="N566" s="575">
        <f>5.803/N504*100</f>
        <v>91.834150973255262</v>
      </c>
      <c r="O566" s="575">
        <f>100-12.9</f>
        <v>87.1</v>
      </c>
      <c r="P566" s="332">
        <f>100-7.3</f>
        <v>92.7</v>
      </c>
      <c r="Q566" s="332">
        <f>100-9.3</f>
        <v>90.7</v>
      </c>
      <c r="R566" s="332">
        <f>100-4.7</f>
        <v>95.3</v>
      </c>
      <c r="S566" s="332">
        <f>100-4.5</f>
        <v>95.5</v>
      </c>
      <c r="T566" s="332">
        <f>100-4</f>
        <v>96</v>
      </c>
      <c r="U566" s="332">
        <f>T566</f>
        <v>96</v>
      </c>
      <c r="V566" s="332">
        <f>100-4</f>
        <v>96</v>
      </c>
      <c r="W566" s="332">
        <f>V566</f>
        <v>96</v>
      </c>
      <c r="X566" s="332">
        <f>100-4</f>
        <v>96</v>
      </c>
      <c r="Y566" s="332">
        <f>X566</f>
        <v>96</v>
      </c>
      <c r="Z566" s="413">
        <f>R503*(R566-100)/100</f>
        <v>-0.29337400000000019</v>
      </c>
      <c r="AN566" s="316">
        <f>Q519-P519</f>
        <v>-0.77842209192891687</v>
      </c>
      <c r="AO566" s="323">
        <f>Q519/P519-100%</f>
        <v>-1.9624165672436078E-3</v>
      </c>
    </row>
    <row r="567" spans="1:41" ht="12.75" hidden="1" customHeight="1" x14ac:dyDescent="0.2">
      <c r="A567" s="260" t="s">
        <v>231</v>
      </c>
      <c r="B567" s="261" t="s">
        <v>599</v>
      </c>
      <c r="C567" s="282">
        <v>1</v>
      </c>
      <c r="D567" s="293"/>
      <c r="E567" s="293"/>
      <c r="F567" s="293"/>
      <c r="G567" s="294" t="s">
        <v>705</v>
      </c>
      <c r="H567" s="280"/>
      <c r="I567" s="280"/>
      <c r="J567" s="280"/>
      <c r="K567" s="280"/>
      <c r="L567" s="290">
        <v>91.83</v>
      </c>
      <c r="M567" s="290">
        <f t="shared" ref="M567:T567" si="126">M566</f>
        <v>92.141176470588221</v>
      </c>
      <c r="N567" s="290">
        <f t="shared" si="126"/>
        <v>91.834150973255262</v>
      </c>
      <c r="O567" s="290">
        <f t="shared" si="126"/>
        <v>87.1</v>
      </c>
      <c r="P567" s="290">
        <f t="shared" si="126"/>
        <v>92.7</v>
      </c>
      <c r="Q567" s="290">
        <f t="shared" si="126"/>
        <v>90.7</v>
      </c>
      <c r="R567" s="290">
        <f t="shared" si="126"/>
        <v>95.3</v>
      </c>
      <c r="S567" s="290">
        <f t="shared" si="126"/>
        <v>95.5</v>
      </c>
      <c r="T567" s="290">
        <f t="shared" si="126"/>
        <v>96</v>
      </c>
      <c r="U567" s="290">
        <f>T567</f>
        <v>96</v>
      </c>
      <c r="V567" s="290">
        <f>V566</f>
        <v>96</v>
      </c>
      <c r="W567" s="290">
        <f>V567</f>
        <v>96</v>
      </c>
      <c r="X567" s="290">
        <f>X566</f>
        <v>96</v>
      </c>
      <c r="Y567" s="290">
        <f>X567</f>
        <v>96</v>
      </c>
      <c r="AN567" s="316">
        <f>Q521-P521</f>
        <v>2</v>
      </c>
      <c r="AO567" s="323">
        <f>Q521/P521-100%</f>
        <v>8.1300813008129413E-3</v>
      </c>
    </row>
    <row r="568" spans="1:41" ht="12.75" hidden="1" customHeight="1" x14ac:dyDescent="0.2">
      <c r="A568" s="260" t="s">
        <v>232</v>
      </c>
      <c r="B568" s="261" t="s">
        <v>599</v>
      </c>
      <c r="C568" s="282"/>
      <c r="D568" s="293"/>
      <c r="E568" s="293"/>
      <c r="F568" s="293"/>
      <c r="G568" s="294"/>
      <c r="H568" s="280"/>
      <c r="I568" s="280"/>
      <c r="J568" s="280"/>
      <c r="K568" s="280"/>
      <c r="L568" s="281"/>
      <c r="M568" s="576"/>
      <c r="N568" s="576"/>
      <c r="O568" s="576"/>
      <c r="P568" s="313"/>
      <c r="Q568" s="313"/>
      <c r="R568" s="313"/>
      <c r="S568" s="313"/>
      <c r="T568" s="313"/>
      <c r="U568" s="313"/>
      <c r="V568" s="313"/>
      <c r="W568" s="313"/>
      <c r="X568" s="313"/>
      <c r="Y568" s="313"/>
      <c r="AN568" s="316" t="e">
        <f>#REF!-#REF!</f>
        <v>#REF!</v>
      </c>
      <c r="AO568" s="323" t="e">
        <f>#REF!/#REF!-100%</f>
        <v>#REF!</v>
      </c>
    </row>
    <row r="569" spans="1:41" ht="31.5" hidden="1" customHeight="1" x14ac:dyDescent="0.2">
      <c r="A569" s="264" t="s">
        <v>518</v>
      </c>
      <c r="B569" s="265" t="s">
        <v>257</v>
      </c>
      <c r="C569" s="282">
        <v>1</v>
      </c>
      <c r="D569" s="293"/>
      <c r="E569" s="293"/>
      <c r="F569" s="293"/>
      <c r="G569" s="294" t="s">
        <v>705</v>
      </c>
      <c r="H569" s="280"/>
      <c r="I569" s="280"/>
      <c r="J569" s="280"/>
      <c r="K569" s="280"/>
      <c r="L569" s="577">
        <f>56*1000*100000/(L14*1000)</f>
        <v>88155.657704174795</v>
      </c>
      <c r="M569" s="577">
        <f>52.2*1000*100000/(M14*1000)</f>
        <v>82202.135365815251</v>
      </c>
      <c r="N569" s="577">
        <f>49.1*1000*100000/(N14*1000)</f>
        <v>77521.82768366042</v>
      </c>
      <c r="O569" s="577">
        <f>47.8*1000*100000/(O14*1000)</f>
        <v>76066.199872692552</v>
      </c>
      <c r="P569" s="577">
        <f>47*1000*100000/(P14*1000)</f>
        <v>75356.742023408689</v>
      </c>
      <c r="Q569" s="577">
        <f>47.3*1000*100000/(Q14*1000)</f>
        <v>76119.667197734118</v>
      </c>
      <c r="R569" s="322"/>
      <c r="S569" s="322"/>
      <c r="T569" s="322"/>
      <c r="U569" s="322"/>
      <c r="V569" s="322"/>
      <c r="W569" s="322"/>
      <c r="X569" s="322"/>
      <c r="Y569" s="322"/>
      <c r="Z569" s="266"/>
      <c r="AN569" s="316" t="e">
        <f>#REF!-#REF!</f>
        <v>#REF!</v>
      </c>
      <c r="AO569" s="323" t="e">
        <f>#REF!/#REF!-100%</f>
        <v>#REF!</v>
      </c>
    </row>
    <row r="570" spans="1:41" ht="11.25" hidden="1" customHeight="1" x14ac:dyDescent="0.2">
      <c r="B570" s="267"/>
      <c r="C570" s="267"/>
      <c r="D570" s="267"/>
      <c r="E570" s="267"/>
      <c r="F570" s="267"/>
      <c r="G570" s="267"/>
      <c r="H570" s="316"/>
      <c r="I570" s="316"/>
      <c r="J570" s="316"/>
      <c r="K570" s="316"/>
      <c r="L570" s="316"/>
      <c r="M570" s="316"/>
      <c r="N570" s="316"/>
      <c r="O570" s="316"/>
      <c r="P570" s="316"/>
      <c r="Q570" s="316"/>
      <c r="R570" s="316"/>
      <c r="S570" s="316"/>
      <c r="T570" s="316"/>
      <c r="U570" s="316"/>
      <c r="V570" s="316"/>
      <c r="W570" s="316"/>
      <c r="X570" s="316"/>
      <c r="Y570" s="316"/>
      <c r="Z570" s="267"/>
      <c r="AA570" s="267"/>
      <c r="AB570" s="267"/>
      <c r="AC570" s="267"/>
      <c r="AD570" s="267"/>
      <c r="AE570" s="267"/>
      <c r="AF570" s="267"/>
      <c r="AG570" s="267"/>
      <c r="AH570" s="267"/>
      <c r="AI570" s="267"/>
      <c r="AJ570" s="267"/>
      <c r="AK570" s="267"/>
      <c r="AL570" s="267"/>
      <c r="AM570" s="267"/>
    </row>
    <row r="571" spans="1:41" ht="11.25" hidden="1" customHeight="1" x14ac:dyDescent="0.2">
      <c r="B571" s="267"/>
      <c r="C571" s="267"/>
      <c r="D571" s="267"/>
      <c r="E571" s="267"/>
      <c r="F571" s="267"/>
      <c r="G571" s="267"/>
      <c r="H571" s="316"/>
      <c r="I571" s="316"/>
      <c r="J571" s="316"/>
      <c r="K571" s="316"/>
      <c r="L571" s="316"/>
      <c r="M571" s="316"/>
      <c r="N571" s="316"/>
      <c r="O571" s="316"/>
      <c r="P571" s="316"/>
      <c r="Q571" s="316"/>
      <c r="R571" s="316"/>
      <c r="S571" s="316"/>
      <c r="T571" s="316"/>
      <c r="U571" s="316"/>
      <c r="V571" s="316"/>
      <c r="W571" s="316"/>
      <c r="X571" s="316"/>
      <c r="Y571" s="316"/>
      <c r="Z571" s="267"/>
      <c r="AA571" s="267"/>
      <c r="AB571" s="267"/>
      <c r="AC571" s="267"/>
      <c r="AD571" s="267"/>
      <c r="AE571" s="267"/>
      <c r="AF571" s="267"/>
      <c r="AG571" s="267"/>
      <c r="AH571" s="267"/>
      <c r="AI571" s="267"/>
      <c r="AJ571" s="267"/>
      <c r="AK571" s="267"/>
      <c r="AL571" s="267"/>
      <c r="AM571" s="267"/>
    </row>
    <row r="572" spans="1:41" ht="11.25" hidden="1" customHeight="1" x14ac:dyDescent="0.2">
      <c r="B572" s="267"/>
      <c r="C572" s="267"/>
      <c r="D572" s="267"/>
      <c r="E572" s="267"/>
      <c r="F572" s="267"/>
      <c r="G572" s="267"/>
      <c r="H572" s="316"/>
      <c r="I572" s="316"/>
      <c r="J572" s="316"/>
      <c r="K572" s="316"/>
      <c r="L572" s="316"/>
      <c r="M572" s="316"/>
      <c r="N572" s="316"/>
      <c r="O572" s="316"/>
      <c r="P572" s="316"/>
      <c r="Q572" s="316"/>
      <c r="R572" s="316"/>
      <c r="S572" s="316"/>
      <c r="T572" s="316"/>
      <c r="U572" s="316"/>
      <c r="V572" s="316"/>
      <c r="W572" s="316"/>
      <c r="X572" s="316"/>
      <c r="Y572" s="316"/>
      <c r="Z572" s="267"/>
      <c r="AA572" s="267"/>
      <c r="AB572" s="267"/>
      <c r="AC572" s="267"/>
      <c r="AD572" s="267"/>
      <c r="AE572" s="267"/>
      <c r="AF572" s="267"/>
      <c r="AG572" s="267"/>
      <c r="AH572" s="267"/>
      <c r="AI572" s="267"/>
      <c r="AJ572" s="267"/>
      <c r="AK572" s="267"/>
      <c r="AL572" s="267"/>
      <c r="AM572" s="267"/>
    </row>
    <row r="573" spans="1:41" ht="11.25" hidden="1" customHeight="1" x14ac:dyDescent="0.2">
      <c r="B573" s="267"/>
      <c r="C573" s="267"/>
      <c r="D573" s="267"/>
      <c r="E573" s="267"/>
      <c r="F573" s="267"/>
      <c r="G573" s="267"/>
      <c r="H573" s="316"/>
      <c r="I573" s="316"/>
      <c r="J573" s="316"/>
      <c r="K573" s="316"/>
      <c r="L573" s="316"/>
      <c r="M573" s="316"/>
      <c r="N573" s="316"/>
      <c r="O573" s="316"/>
      <c r="P573" s="316"/>
      <c r="Q573" s="316"/>
      <c r="R573" s="316"/>
      <c r="S573" s="316"/>
      <c r="T573" s="316"/>
      <c r="U573" s="316"/>
      <c r="V573" s="316"/>
      <c r="W573" s="316"/>
      <c r="X573" s="316"/>
      <c r="Y573" s="316"/>
      <c r="Z573" s="267"/>
      <c r="AA573" s="267"/>
      <c r="AB573" s="267"/>
      <c r="AC573" s="267"/>
      <c r="AD573" s="267"/>
      <c r="AE573" s="267"/>
      <c r="AF573" s="267"/>
      <c r="AG573" s="267"/>
      <c r="AH573" s="267"/>
      <c r="AI573" s="267"/>
      <c r="AJ573" s="267"/>
      <c r="AK573" s="267"/>
      <c r="AL573" s="267"/>
      <c r="AM573" s="267"/>
    </row>
    <row r="574" spans="1:41" ht="11.25" hidden="1" customHeight="1" x14ac:dyDescent="0.2">
      <c r="B574" s="267"/>
      <c r="C574" s="267"/>
      <c r="D574" s="267"/>
      <c r="E574" s="267"/>
      <c r="F574" s="267"/>
      <c r="G574" s="267"/>
      <c r="H574" s="316"/>
      <c r="I574" s="316"/>
      <c r="J574" s="316"/>
      <c r="K574" s="316"/>
      <c r="L574" s="316"/>
      <c r="M574" s="316"/>
      <c r="N574" s="316"/>
      <c r="O574" s="316"/>
      <c r="P574" s="316"/>
      <c r="Q574" s="316"/>
      <c r="R574" s="316"/>
      <c r="S574" s="316"/>
      <c r="T574" s="316"/>
      <c r="U574" s="316"/>
      <c r="V574" s="316"/>
      <c r="W574" s="316"/>
      <c r="X574" s="316"/>
      <c r="Y574" s="316"/>
      <c r="Z574" s="267"/>
      <c r="AA574" s="267"/>
      <c r="AB574" s="267"/>
      <c r="AC574" s="267"/>
      <c r="AD574" s="267"/>
      <c r="AE574" s="267"/>
      <c r="AF574" s="267"/>
      <c r="AG574" s="267"/>
      <c r="AH574" s="267"/>
      <c r="AI574" s="267"/>
      <c r="AJ574" s="267"/>
      <c r="AK574" s="267"/>
      <c r="AL574" s="267"/>
      <c r="AM574" s="267"/>
    </row>
    <row r="575" spans="1:41" ht="11.25" hidden="1" customHeight="1" x14ac:dyDescent="0.2">
      <c r="B575" s="267"/>
      <c r="C575" s="267"/>
      <c r="D575" s="267"/>
      <c r="E575" s="267"/>
      <c r="F575" s="267"/>
      <c r="G575" s="267"/>
      <c r="H575" s="316"/>
      <c r="I575" s="316"/>
      <c r="J575" s="316"/>
      <c r="K575" s="316"/>
      <c r="L575" s="316"/>
      <c r="M575" s="316"/>
      <c r="N575" s="316"/>
      <c r="O575" s="316"/>
      <c r="P575" s="316"/>
      <c r="Q575" s="316"/>
      <c r="R575" s="316"/>
      <c r="S575" s="316"/>
      <c r="T575" s="316"/>
      <c r="U575" s="316"/>
      <c r="V575" s="316"/>
      <c r="W575" s="316"/>
      <c r="X575" s="316"/>
      <c r="Y575" s="316"/>
      <c r="Z575" s="267"/>
      <c r="AA575" s="267"/>
      <c r="AB575" s="267"/>
      <c r="AC575" s="267"/>
      <c r="AD575" s="267"/>
      <c r="AE575" s="267"/>
      <c r="AF575" s="267"/>
      <c r="AG575" s="267"/>
      <c r="AH575" s="267"/>
      <c r="AI575" s="267"/>
      <c r="AJ575" s="267"/>
      <c r="AK575" s="267"/>
      <c r="AL575" s="267"/>
      <c r="AM575" s="267"/>
    </row>
    <row r="576" spans="1:41" ht="11.25" hidden="1" customHeight="1" x14ac:dyDescent="0.2">
      <c r="B576" s="267"/>
      <c r="C576" s="267"/>
      <c r="D576" s="267"/>
      <c r="E576" s="267"/>
      <c r="F576" s="267"/>
      <c r="G576" s="267"/>
      <c r="H576" s="316"/>
      <c r="I576" s="316"/>
      <c r="J576" s="316"/>
      <c r="K576" s="316"/>
      <c r="L576" s="316"/>
      <c r="M576" s="316"/>
      <c r="N576" s="316"/>
      <c r="O576" s="316"/>
      <c r="P576" s="316"/>
      <c r="Q576" s="316"/>
      <c r="R576" s="316"/>
      <c r="S576" s="316"/>
      <c r="T576" s="316"/>
      <c r="U576" s="316"/>
      <c r="V576" s="316"/>
      <c r="W576" s="316"/>
      <c r="X576" s="316"/>
      <c r="Y576" s="316"/>
      <c r="Z576" s="267"/>
      <c r="AA576" s="267"/>
      <c r="AB576" s="267"/>
      <c r="AC576" s="267"/>
      <c r="AD576" s="267"/>
      <c r="AE576" s="267"/>
      <c r="AF576" s="267"/>
      <c r="AG576" s="267"/>
      <c r="AH576" s="267"/>
      <c r="AI576" s="267"/>
      <c r="AJ576" s="267"/>
      <c r="AK576" s="267"/>
      <c r="AL576" s="267"/>
      <c r="AM576" s="267"/>
    </row>
    <row r="577" spans="1:39" ht="11.25" hidden="1" customHeight="1" x14ac:dyDescent="0.2">
      <c r="B577" s="267"/>
      <c r="C577" s="267"/>
      <c r="D577" s="267"/>
      <c r="E577" s="267"/>
      <c r="F577" s="267"/>
      <c r="G577" s="267"/>
      <c r="H577" s="316"/>
      <c r="I577" s="316"/>
      <c r="J577" s="316"/>
      <c r="K577" s="316"/>
      <c r="L577" s="316"/>
      <c r="M577" s="316"/>
      <c r="N577" s="316"/>
      <c r="O577" s="316"/>
      <c r="P577" s="316"/>
      <c r="Q577" s="316"/>
      <c r="R577" s="316"/>
      <c r="S577" s="316"/>
      <c r="T577" s="316"/>
      <c r="U577" s="316"/>
      <c r="V577" s="316"/>
      <c r="W577" s="316"/>
      <c r="X577" s="316"/>
      <c r="Y577" s="316"/>
      <c r="Z577" s="267"/>
      <c r="AA577" s="267"/>
      <c r="AB577" s="267"/>
      <c r="AC577" s="267"/>
      <c r="AD577" s="267"/>
      <c r="AE577" s="267"/>
      <c r="AF577" s="267"/>
      <c r="AG577" s="267"/>
      <c r="AH577" s="267"/>
      <c r="AI577" s="267"/>
      <c r="AJ577" s="267"/>
      <c r="AK577" s="267"/>
      <c r="AL577" s="267"/>
      <c r="AM577" s="267"/>
    </row>
    <row r="578" spans="1:39" ht="11.25" hidden="1" customHeight="1" x14ac:dyDescent="0.2">
      <c r="B578" s="267"/>
      <c r="C578" s="267"/>
      <c r="D578" s="267"/>
      <c r="E578" s="267"/>
      <c r="F578" s="267"/>
      <c r="G578" s="267"/>
      <c r="H578" s="316"/>
      <c r="I578" s="316"/>
      <c r="J578" s="316"/>
      <c r="K578" s="316"/>
      <c r="L578" s="316"/>
      <c r="M578" s="316"/>
      <c r="N578" s="316"/>
      <c r="O578" s="316"/>
      <c r="P578" s="316"/>
      <c r="Q578" s="316"/>
      <c r="R578" s="316"/>
      <c r="S578" s="316"/>
      <c r="T578" s="316"/>
      <c r="U578" s="316"/>
      <c r="V578" s="316"/>
      <c r="W578" s="316"/>
      <c r="X578" s="316"/>
      <c r="Y578" s="316"/>
      <c r="Z578" s="267"/>
      <c r="AA578" s="267"/>
      <c r="AB578" s="267"/>
      <c r="AC578" s="267"/>
      <c r="AD578" s="267"/>
      <c r="AE578" s="267"/>
      <c r="AF578" s="267"/>
      <c r="AG578" s="267"/>
      <c r="AH578" s="267"/>
      <c r="AI578" s="267"/>
      <c r="AJ578" s="267"/>
      <c r="AK578" s="267"/>
      <c r="AL578" s="267"/>
      <c r="AM578" s="267"/>
    </row>
    <row r="579" spans="1:39" ht="21" x14ac:dyDescent="0.2">
      <c r="A579" s="260" t="s">
        <v>1126</v>
      </c>
      <c r="B579" s="261"/>
      <c r="H579" s="316"/>
      <c r="I579" s="316"/>
      <c r="J579" s="316"/>
      <c r="K579" s="316"/>
      <c r="L579" s="281"/>
      <c r="M579" s="281"/>
      <c r="N579" s="281"/>
      <c r="O579" s="281"/>
      <c r="P579" s="313"/>
      <c r="Q579" s="313"/>
      <c r="R579" s="313"/>
      <c r="S579" s="313"/>
      <c r="T579" s="313"/>
      <c r="U579" s="313"/>
      <c r="V579" s="313"/>
      <c r="W579" s="313"/>
      <c r="X579" s="313"/>
      <c r="Y579" s="313"/>
    </row>
    <row r="580" spans="1:39" ht="27" x14ac:dyDescent="0.2">
      <c r="A580" s="441" t="s">
        <v>1127</v>
      </c>
      <c r="B580" s="261" t="s">
        <v>138</v>
      </c>
      <c r="H580" s="316"/>
      <c r="I580" s="316"/>
      <c r="J580" s="316"/>
      <c r="K580" s="316"/>
      <c r="L580" s="281"/>
      <c r="M580" s="281"/>
      <c r="N580" s="281"/>
      <c r="O580" s="281"/>
      <c r="P580" s="313"/>
      <c r="Q580" s="313">
        <v>105.6</v>
      </c>
      <c r="R580" s="313">
        <v>106.8</v>
      </c>
      <c r="S580" s="313">
        <v>109.7</v>
      </c>
      <c r="T580" s="313">
        <v>107.2</v>
      </c>
      <c r="U580" s="313">
        <v>107.2</v>
      </c>
      <c r="V580" s="313">
        <v>106.3</v>
      </c>
      <c r="W580" s="313">
        <v>106.3</v>
      </c>
      <c r="X580" s="313">
        <v>106.3</v>
      </c>
      <c r="Y580" s="313">
        <v>106.3</v>
      </c>
    </row>
    <row r="581" spans="1:39" ht="27" x14ac:dyDescent="0.2">
      <c r="A581" s="441" t="s">
        <v>1128</v>
      </c>
      <c r="B581" s="261" t="s">
        <v>138</v>
      </c>
      <c r="H581" s="316"/>
      <c r="I581" s="316"/>
      <c r="J581" s="316"/>
      <c r="K581" s="316"/>
      <c r="L581" s="281"/>
      <c r="M581" s="281"/>
      <c r="N581" s="281"/>
      <c r="O581" s="281"/>
      <c r="P581" s="313"/>
      <c r="Q581" s="313">
        <v>107.9</v>
      </c>
      <c r="R581" s="313">
        <v>107</v>
      </c>
      <c r="S581" s="313">
        <v>113.5</v>
      </c>
      <c r="T581" s="313">
        <v>106.8</v>
      </c>
      <c r="U581" s="313">
        <v>106.8</v>
      </c>
      <c r="V581" s="313">
        <v>106.3</v>
      </c>
      <c r="W581" s="313">
        <v>106.3</v>
      </c>
      <c r="X581" s="313">
        <v>105.5</v>
      </c>
      <c r="Y581" s="313">
        <v>105.5</v>
      </c>
      <c r="Z581" s="267"/>
      <c r="AA581" s="267"/>
      <c r="AB581" s="267"/>
      <c r="AC581" s="267"/>
      <c r="AD581" s="267"/>
      <c r="AE581" s="267"/>
      <c r="AF581" s="267"/>
      <c r="AG581" s="267"/>
      <c r="AH581" s="267"/>
      <c r="AI581" s="267"/>
      <c r="AJ581" s="267"/>
      <c r="AK581" s="267"/>
      <c r="AL581" s="267"/>
      <c r="AM581" s="267"/>
    </row>
    <row r="582" spans="1:39" ht="27" x14ac:dyDescent="0.2">
      <c r="A582" s="441" t="s">
        <v>1129</v>
      </c>
      <c r="B582" s="261" t="s">
        <v>138</v>
      </c>
      <c r="H582" s="316"/>
      <c r="I582" s="316"/>
      <c r="J582" s="316"/>
      <c r="K582" s="316"/>
      <c r="L582" s="281"/>
      <c r="M582" s="281"/>
      <c r="N582" s="281"/>
      <c r="O582" s="281"/>
      <c r="P582" s="313"/>
      <c r="Q582" s="313">
        <v>121.8</v>
      </c>
      <c r="R582" s="313">
        <v>100</v>
      </c>
      <c r="S582" s="313">
        <v>109.7</v>
      </c>
      <c r="T582" s="313">
        <v>107.2</v>
      </c>
      <c r="U582" s="313">
        <v>107.2</v>
      </c>
      <c r="V582" s="313">
        <v>106.3</v>
      </c>
      <c r="W582" s="313">
        <v>106.3</v>
      </c>
      <c r="X582" s="313">
        <v>106</v>
      </c>
      <c r="Y582" s="313">
        <v>106</v>
      </c>
      <c r="Z582" s="267"/>
      <c r="AA582" s="267"/>
      <c r="AB582" s="267"/>
      <c r="AC582" s="267"/>
      <c r="AD582" s="267"/>
      <c r="AE582" s="267"/>
      <c r="AF582" s="267"/>
      <c r="AG582" s="267"/>
      <c r="AH582" s="267"/>
      <c r="AI582" s="267"/>
      <c r="AJ582" s="267"/>
      <c r="AK582" s="267"/>
      <c r="AL582" s="267"/>
      <c r="AM582" s="267"/>
    </row>
    <row r="583" spans="1:39" ht="27" x14ac:dyDescent="0.2">
      <c r="A583" s="441" t="s">
        <v>1130</v>
      </c>
      <c r="B583" s="261" t="s">
        <v>138</v>
      </c>
      <c r="H583" s="316"/>
      <c r="I583" s="316"/>
      <c r="J583" s="316"/>
      <c r="K583" s="316"/>
      <c r="L583" s="281"/>
      <c r="M583" s="281"/>
      <c r="N583" s="281"/>
      <c r="O583" s="281"/>
      <c r="P583" s="313"/>
      <c r="Q583" s="313">
        <v>100</v>
      </c>
      <c r="R583" s="313">
        <v>114.3</v>
      </c>
      <c r="S583" s="313">
        <v>110.5</v>
      </c>
      <c r="T583" s="313">
        <v>106.4</v>
      </c>
      <c r="U583" s="313">
        <v>106.4</v>
      </c>
      <c r="V583" s="313">
        <v>106</v>
      </c>
      <c r="W583" s="313">
        <v>106</v>
      </c>
      <c r="X583" s="313">
        <v>105</v>
      </c>
      <c r="Y583" s="313">
        <v>105</v>
      </c>
      <c r="Z583" s="267"/>
      <c r="AA583" s="267"/>
      <c r="AB583" s="267"/>
      <c r="AC583" s="267"/>
      <c r="AD583" s="267"/>
      <c r="AE583" s="267"/>
      <c r="AF583" s="267"/>
      <c r="AG583" s="267"/>
      <c r="AH583" s="267"/>
      <c r="AI583" s="267"/>
      <c r="AJ583" s="267"/>
      <c r="AK583" s="267"/>
      <c r="AL583" s="267"/>
      <c r="AM583" s="267"/>
    </row>
    <row r="584" spans="1:39" ht="27" x14ac:dyDescent="0.2">
      <c r="A584" s="441" t="s">
        <v>285</v>
      </c>
      <c r="B584" s="261" t="s">
        <v>138</v>
      </c>
      <c r="H584" s="316"/>
      <c r="I584" s="316"/>
      <c r="J584" s="316"/>
      <c r="K584" s="316"/>
      <c r="L584" s="281"/>
      <c r="M584" s="281"/>
      <c r="N584" s="281"/>
      <c r="O584" s="281"/>
      <c r="P584" s="313"/>
      <c r="Q584" s="313">
        <v>100</v>
      </c>
      <c r="R584" s="313">
        <v>114.9</v>
      </c>
      <c r="S584" s="313">
        <v>110.5</v>
      </c>
      <c r="T584" s="313">
        <v>106.4</v>
      </c>
      <c r="U584" s="313">
        <v>106.4</v>
      </c>
      <c r="V584" s="313">
        <v>106</v>
      </c>
      <c r="W584" s="313">
        <v>106</v>
      </c>
      <c r="X584" s="313">
        <v>105</v>
      </c>
      <c r="Y584" s="313">
        <v>105</v>
      </c>
      <c r="Z584" s="267"/>
      <c r="AA584" s="267"/>
      <c r="AB584" s="267"/>
      <c r="AC584" s="267"/>
      <c r="AD584" s="267"/>
      <c r="AE584" s="267"/>
      <c r="AF584" s="267"/>
      <c r="AG584" s="267"/>
      <c r="AH584" s="267"/>
      <c r="AI584" s="267"/>
      <c r="AJ584" s="267"/>
      <c r="AK584" s="267"/>
      <c r="AL584" s="267"/>
      <c r="AM584" s="267"/>
    </row>
    <row r="585" spans="1:39" ht="27" x14ac:dyDescent="0.2">
      <c r="A585" s="461" t="s">
        <v>286</v>
      </c>
      <c r="B585" s="462" t="s">
        <v>138</v>
      </c>
      <c r="H585" s="316"/>
      <c r="I585" s="316"/>
      <c r="J585" s="316"/>
      <c r="K585" s="316"/>
      <c r="L585" s="463"/>
      <c r="M585" s="463"/>
      <c r="N585" s="463"/>
      <c r="O585" s="463"/>
      <c r="P585" s="464"/>
      <c r="Q585" s="464">
        <v>115.5</v>
      </c>
      <c r="R585" s="464">
        <v>100.1</v>
      </c>
      <c r="S585" s="464">
        <v>110.5</v>
      </c>
      <c r="T585" s="464">
        <v>106.4</v>
      </c>
      <c r="U585" s="464">
        <v>106.4</v>
      </c>
      <c r="V585" s="464">
        <v>106</v>
      </c>
      <c r="W585" s="464">
        <v>106</v>
      </c>
      <c r="X585" s="464">
        <v>105</v>
      </c>
      <c r="Y585" s="464">
        <v>105</v>
      </c>
      <c r="Z585" s="267"/>
      <c r="AA585" s="267"/>
      <c r="AB585" s="267"/>
      <c r="AC585" s="267"/>
      <c r="AD585" s="267"/>
      <c r="AE585" s="267"/>
      <c r="AF585" s="267"/>
      <c r="AG585" s="267"/>
      <c r="AH585" s="267"/>
      <c r="AI585" s="267"/>
      <c r="AJ585" s="267"/>
      <c r="AK585" s="267"/>
      <c r="AL585" s="267"/>
      <c r="AM585" s="267"/>
    </row>
    <row r="586" spans="1:39" ht="27" x14ac:dyDescent="0.2">
      <c r="A586" s="260" t="s">
        <v>1131</v>
      </c>
      <c r="B586" s="462" t="s">
        <v>138</v>
      </c>
      <c r="C586" s="465"/>
      <c r="D586" s="465"/>
      <c r="E586" s="466"/>
      <c r="F586" s="465"/>
      <c r="G586" s="467"/>
      <c r="H586" s="468"/>
      <c r="I586" s="468"/>
      <c r="J586" s="468"/>
      <c r="K586" s="468"/>
      <c r="L586" s="281"/>
      <c r="M586" s="281"/>
      <c r="N586" s="281"/>
      <c r="O586" s="281"/>
      <c r="P586" s="313"/>
      <c r="Q586" s="313"/>
      <c r="R586" s="313"/>
      <c r="S586" s="313"/>
      <c r="T586" s="313"/>
      <c r="U586" s="313"/>
      <c r="V586" s="313"/>
      <c r="W586" s="313"/>
      <c r="X586" s="313"/>
      <c r="Y586" s="313"/>
      <c r="Z586" s="267"/>
      <c r="AA586" s="267"/>
      <c r="AB586" s="267"/>
      <c r="AC586" s="267"/>
      <c r="AD586" s="267"/>
      <c r="AE586" s="267"/>
      <c r="AF586" s="267"/>
      <c r="AG586" s="267"/>
      <c r="AH586" s="267"/>
      <c r="AI586" s="267"/>
      <c r="AJ586" s="267"/>
      <c r="AK586" s="267"/>
      <c r="AL586" s="267"/>
      <c r="AM586" s="267"/>
    </row>
    <row r="587" spans="1:39" ht="21" x14ac:dyDescent="0.2">
      <c r="A587" s="260" t="s">
        <v>1132</v>
      </c>
      <c r="B587" s="261" t="s">
        <v>1100</v>
      </c>
      <c r="C587" s="465"/>
      <c r="D587" s="465"/>
      <c r="E587" s="466"/>
      <c r="F587" s="465"/>
      <c r="G587" s="467"/>
      <c r="H587" s="468"/>
      <c r="I587" s="468"/>
      <c r="J587" s="468"/>
      <c r="K587" s="468"/>
      <c r="L587" s="281"/>
      <c r="M587" s="281"/>
      <c r="N587" s="281"/>
      <c r="O587" s="281"/>
      <c r="P587" s="313"/>
      <c r="Q587" s="313"/>
      <c r="R587" s="313"/>
      <c r="S587" s="313"/>
      <c r="T587" s="313"/>
      <c r="U587" s="313"/>
      <c r="V587" s="313"/>
      <c r="W587" s="313"/>
      <c r="X587" s="313"/>
      <c r="Y587" s="313"/>
      <c r="Z587" s="267"/>
      <c r="AA587" s="267"/>
      <c r="AB587" s="267"/>
      <c r="AC587" s="267"/>
      <c r="AD587" s="267"/>
      <c r="AE587" s="267"/>
      <c r="AF587" s="267"/>
      <c r="AG587" s="267"/>
      <c r="AH587" s="267"/>
      <c r="AI587" s="267"/>
      <c r="AJ587" s="267"/>
      <c r="AK587" s="267"/>
      <c r="AL587" s="267"/>
      <c r="AM587" s="267"/>
    </row>
  </sheetData>
  <sheetProtection selectLockedCells="1" selectUnlockedCells="1"/>
  <dataConsolidate/>
  <customSheetViews>
    <customSheetView guid="{77D4B8AA-2D12-454E-8920-2F102814BFC0}" scale="75" showPageBreaks="1" showAutoFilter="1" hiddenColumns="1" showRuler="0">
      <pane xSplit="10" ySplit="11" topLeftCell="L72" activePane="bottomRight" state="frozen"/>
      <selection pane="bottomRight" activeCell="O73" sqref="O73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1"/>
      <headerFooter alignWithMargins="0">
        <oddFooter>Страница &amp;P</oddFooter>
      </headerFooter>
      <autoFilter ref="B1:G1"/>
    </customSheetView>
    <customSheetView guid="{0F955BED-3AA5-4ED9-8747-25E63CDA70F7}" showAutoFilter="1" hiddenRows="1" hiddenColumns="1" showRuler="0">
      <pane xSplit="10" ySplit="11" topLeftCell="L470" activePane="bottomRight" state="frozen"/>
      <selection pane="bottomRight" activeCell="A475" sqref="A475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2"/>
      <headerFooter alignWithMargins="0">
        <oddFooter>Страница &amp;P</oddFooter>
      </headerFooter>
      <autoFilter ref="B1:G1"/>
    </customSheetView>
    <customSheetView guid="{F999748C-9832-11D8-83FB-00E04C392051}" showAutoFilter="1" hiddenRows="1" hiddenColumns="1" showRuler="0">
      <pane xSplit="10" ySplit="11" topLeftCell="L234" activePane="bottomRight" state="frozen"/>
      <selection pane="bottomRight" activeCell="N237" sqref="N23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3"/>
      <headerFooter alignWithMargins="0">
        <oddFooter>Страница &amp;P</oddFooter>
      </headerFooter>
      <autoFilter ref="B1:G1"/>
    </customSheetView>
    <customSheetView guid="{1CCF9464-AEC0-4C0F-98A5-E7B17D04C7EE}" showPageBreaks="1" showAutoFilter="1" hiddenColumns="1" showRuler="0">
      <pane xSplit="10" ySplit="11" topLeftCell="Q291" activePane="bottomRight" state="frozen"/>
      <selection pane="bottomRight" activeCell="T7" sqref="T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4"/>
      <headerFooter alignWithMargins="0">
        <oddFooter>Страница &amp;P</oddFooter>
      </headerFooter>
      <autoFilter ref="B1:G1"/>
    </customSheetView>
    <customSheetView guid="{4D3410BB-2371-487E-AAF7-AC8AFE6E56CA}" showPageBreaks="1" showAutoFilter="1" hiddenColumns="1" showRuler="0" topLeftCell="L579">
      <selection activeCell="M586" sqref="M586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5"/>
      <headerFooter alignWithMargins="0">
        <oddFooter>Страница &amp;P</oddFooter>
      </headerFooter>
      <autoFilter ref="B1:G1"/>
    </customSheetView>
  </customSheetViews>
  <mergeCells count="24">
    <mergeCell ref="T9:X9"/>
    <mergeCell ref="S10:S11"/>
    <mergeCell ref="T10:U10"/>
    <mergeCell ref="A554:B554"/>
    <mergeCell ref="A555:B555"/>
    <mergeCell ref="J555:K555"/>
    <mergeCell ref="X555:Y555"/>
    <mergeCell ref="N5:U5"/>
    <mergeCell ref="V10:W10"/>
    <mergeCell ref="X10:Y10"/>
    <mergeCell ref="M10:M11"/>
    <mergeCell ref="R10:R11"/>
    <mergeCell ref="P10:P11"/>
    <mergeCell ref="A9:A11"/>
    <mergeCell ref="B9:B11"/>
    <mergeCell ref="N10:N11"/>
    <mergeCell ref="O10:O11"/>
    <mergeCell ref="L10:L11"/>
    <mergeCell ref="Q10:Q11"/>
    <mergeCell ref="T1:Y1"/>
    <mergeCell ref="T2:Y2"/>
    <mergeCell ref="T3:Y3"/>
    <mergeCell ref="T4:Y4"/>
    <mergeCell ref="A6:X6"/>
  </mergeCells>
  <phoneticPr fontId="0" type="noConversion"/>
  <printOptions horizontalCentered="1"/>
  <pageMargins left="0" right="0" top="0.27559055118110237" bottom="0" header="0" footer="0"/>
  <pageSetup paperSize="9" scale="84" fitToHeight="18" orientation="landscape" r:id="rId6"/>
  <headerFooter alignWithMargins="0">
    <oddFooter>Страница &amp;P</oddFooter>
  </headerFooter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P27"/>
  <sheetViews>
    <sheetView workbookViewId="0"/>
  </sheetViews>
  <sheetFormatPr defaultRowHeight="12.75" x14ac:dyDescent="0.2"/>
  <sheetData>
    <row r="1" spans="1:15" x14ac:dyDescent="0.2">
      <c r="A1">
        <v>13</v>
      </c>
      <c r="B1">
        <v>15</v>
      </c>
      <c r="C1">
        <v>17</v>
      </c>
    </row>
    <row r="2" spans="1:15" x14ac:dyDescent="0.2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 x14ac:dyDescent="0.2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 x14ac:dyDescent="0.2">
      <c r="A4">
        <v>74</v>
      </c>
      <c r="B4">
        <v>78</v>
      </c>
      <c r="C4">
        <v>81</v>
      </c>
      <c r="D4">
        <v>84</v>
      </c>
      <c r="E4">
        <v>87</v>
      </c>
    </row>
    <row r="5" spans="1:15" x14ac:dyDescent="0.2">
      <c r="A5">
        <v>151</v>
      </c>
      <c r="B5">
        <v>156</v>
      </c>
      <c r="C5">
        <v>158</v>
      </c>
      <c r="D5">
        <v>160</v>
      </c>
    </row>
    <row r="6" spans="1:15" x14ac:dyDescent="0.2">
      <c r="A6">
        <v>151</v>
      </c>
      <c r="B6">
        <v>162</v>
      </c>
      <c r="C6">
        <v>165</v>
      </c>
    </row>
    <row r="7" spans="1:15" x14ac:dyDescent="0.2">
      <c r="A7">
        <v>172</v>
      </c>
      <c r="B7">
        <v>174</v>
      </c>
      <c r="C7">
        <v>175</v>
      </c>
      <c r="D7">
        <v>176</v>
      </c>
    </row>
    <row r="8" spans="1:15" x14ac:dyDescent="0.2">
      <c r="A8">
        <v>177</v>
      </c>
      <c r="B8">
        <v>179</v>
      </c>
      <c r="C8">
        <v>180</v>
      </c>
      <c r="D8">
        <v>181</v>
      </c>
    </row>
    <row r="9" spans="1:15" x14ac:dyDescent="0.2">
      <c r="A9">
        <v>182</v>
      </c>
      <c r="B9">
        <v>185</v>
      </c>
      <c r="C9">
        <v>187</v>
      </c>
      <c r="D9">
        <v>189</v>
      </c>
    </row>
    <row r="10" spans="1:15" x14ac:dyDescent="0.2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 x14ac:dyDescent="0.2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 x14ac:dyDescent="0.2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 x14ac:dyDescent="0.2">
      <c r="A13">
        <v>251</v>
      </c>
      <c r="B13">
        <v>254</v>
      </c>
      <c r="C13">
        <v>256</v>
      </c>
    </row>
    <row r="14" spans="1:15" x14ac:dyDescent="0.2">
      <c r="A14">
        <v>193</v>
      </c>
      <c r="B14">
        <v>259</v>
      </c>
      <c r="C14">
        <v>276</v>
      </c>
      <c r="D14">
        <v>285</v>
      </c>
    </row>
    <row r="15" spans="1:15" x14ac:dyDescent="0.2">
      <c r="A15">
        <v>285</v>
      </c>
      <c r="B15">
        <v>288</v>
      </c>
      <c r="C15">
        <v>292</v>
      </c>
    </row>
    <row r="16" spans="1:15" x14ac:dyDescent="0.2">
      <c r="A16">
        <v>269</v>
      </c>
      <c r="B16">
        <v>272</v>
      </c>
      <c r="C16">
        <v>274</v>
      </c>
    </row>
    <row r="17" spans="1:16" x14ac:dyDescent="0.2">
      <c r="A17">
        <v>304</v>
      </c>
      <c r="B17">
        <v>307</v>
      </c>
      <c r="C17">
        <v>308</v>
      </c>
    </row>
    <row r="18" spans="1:16" x14ac:dyDescent="0.2">
      <c r="A18">
        <v>393</v>
      </c>
      <c r="B18">
        <v>395</v>
      </c>
      <c r="C18">
        <v>396</v>
      </c>
    </row>
    <row r="19" spans="1:16" x14ac:dyDescent="0.2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 x14ac:dyDescent="0.2">
      <c r="A20">
        <v>413</v>
      </c>
      <c r="B20">
        <v>415</v>
      </c>
      <c r="C20">
        <v>416</v>
      </c>
    </row>
    <row r="21" spans="1:16" x14ac:dyDescent="0.2">
      <c r="A21">
        <v>417</v>
      </c>
      <c r="B21">
        <v>419</v>
      </c>
      <c r="C21">
        <v>420</v>
      </c>
      <c r="D21">
        <v>421</v>
      </c>
    </row>
    <row r="22" spans="1:16" x14ac:dyDescent="0.2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 x14ac:dyDescent="0.2">
      <c r="A23">
        <v>428</v>
      </c>
      <c r="B23">
        <v>429</v>
      </c>
      <c r="C23">
        <v>430</v>
      </c>
    </row>
    <row r="24" spans="1:16" x14ac:dyDescent="0.2">
      <c r="A24">
        <v>434</v>
      </c>
      <c r="B24">
        <v>436</v>
      </c>
      <c r="C24">
        <v>438</v>
      </c>
      <c r="D24">
        <v>439</v>
      </c>
    </row>
    <row r="25" spans="1:16" x14ac:dyDescent="0.2">
      <c r="A25">
        <v>436</v>
      </c>
      <c r="B25">
        <v>437</v>
      </c>
    </row>
    <row r="26" spans="1:16" x14ac:dyDescent="0.2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 x14ac:dyDescent="0.2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6" sqref="B16"/>
    </sheetView>
  </sheetViews>
  <sheetFormatPr defaultRowHeight="12.75" x14ac:dyDescent="0.2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 x14ac:dyDescent="0.25">
      <c r="A1" s="45"/>
      <c r="B1" s="8" t="s">
        <v>336</v>
      </c>
      <c r="C1" s="43"/>
      <c r="D1" s="44"/>
    </row>
    <row r="2" spans="1:7" x14ac:dyDescent="0.2">
      <c r="B2" s="8" t="s">
        <v>833</v>
      </c>
      <c r="C2" s="8"/>
      <c r="D2" s="8"/>
    </row>
    <row r="3" spans="1:7" ht="13.5" thickBot="1" x14ac:dyDescent="0.25">
      <c r="B3" t="s">
        <v>834</v>
      </c>
    </row>
    <row r="4" spans="1:7" ht="33" thickTop="1" thickBot="1" x14ac:dyDescent="0.25">
      <c r="A4" s="47" t="s">
        <v>443</v>
      </c>
      <c r="B4" s="51"/>
      <c r="C4" s="52" t="s">
        <v>455</v>
      </c>
      <c r="D4" s="52" t="s">
        <v>595</v>
      </c>
      <c r="E4" s="52" t="s">
        <v>339</v>
      </c>
      <c r="F4" s="52" t="s">
        <v>338</v>
      </c>
      <c r="G4" s="53" t="s">
        <v>337</v>
      </c>
    </row>
    <row r="5" spans="1:7" ht="32.25" thickTop="1" x14ac:dyDescent="0.2">
      <c r="A5" s="589" t="s">
        <v>835</v>
      </c>
      <c r="B5" s="65" t="s">
        <v>596</v>
      </c>
      <c r="C5" s="66" t="s">
        <v>838</v>
      </c>
      <c r="D5" s="83"/>
      <c r="E5" s="83"/>
      <c r="F5" s="84"/>
      <c r="G5" s="85"/>
    </row>
    <row r="6" spans="1:7" ht="15.75" x14ac:dyDescent="0.2">
      <c r="A6" s="590"/>
      <c r="B6" s="65" t="s">
        <v>597</v>
      </c>
      <c r="C6" s="68" t="s">
        <v>598</v>
      </c>
      <c r="D6" s="83"/>
      <c r="E6" s="83"/>
      <c r="F6" s="84"/>
      <c r="G6" s="85"/>
    </row>
    <row r="7" spans="1:7" ht="31.5" x14ac:dyDescent="0.2">
      <c r="A7" s="590"/>
      <c r="B7" s="65" t="s">
        <v>315</v>
      </c>
      <c r="C7" s="66" t="s">
        <v>599</v>
      </c>
      <c r="D7" s="83"/>
      <c r="E7" s="83"/>
      <c r="F7" s="86"/>
      <c r="G7" s="87"/>
    </row>
    <row r="8" spans="1:7" ht="15.75" x14ac:dyDescent="0.2">
      <c r="A8" s="69"/>
      <c r="B8" s="65"/>
      <c r="C8" s="66"/>
      <c r="D8" s="66"/>
      <c r="E8" s="66"/>
      <c r="F8" s="66"/>
      <c r="G8" s="88"/>
    </row>
    <row r="9" spans="1:7" ht="31.5" x14ac:dyDescent="0.2">
      <c r="A9" s="590" t="s">
        <v>600</v>
      </c>
      <c r="B9" s="65" t="s">
        <v>601</v>
      </c>
      <c r="C9" s="66"/>
      <c r="D9" s="66"/>
      <c r="E9" s="66"/>
      <c r="F9" s="66"/>
      <c r="G9" s="88"/>
    </row>
    <row r="10" spans="1:7" ht="15.75" x14ac:dyDescent="0.2">
      <c r="A10" s="590"/>
      <c r="B10" s="65" t="s">
        <v>602</v>
      </c>
      <c r="C10" s="66" t="s">
        <v>838</v>
      </c>
      <c r="D10" s="83"/>
      <c r="E10" s="83"/>
      <c r="F10" s="66"/>
      <c r="G10" s="89"/>
    </row>
    <row r="11" spans="1:7" ht="15.75" x14ac:dyDescent="0.2">
      <c r="A11" s="590"/>
      <c r="B11" s="65" t="s">
        <v>603</v>
      </c>
      <c r="C11" s="68" t="s">
        <v>598</v>
      </c>
      <c r="D11" s="83"/>
      <c r="E11" s="83"/>
      <c r="F11" s="66"/>
      <c r="G11" s="88"/>
    </row>
    <row r="12" spans="1:7" ht="31.5" x14ac:dyDescent="0.2">
      <c r="A12" s="69"/>
      <c r="B12" s="65" t="s">
        <v>604</v>
      </c>
      <c r="C12" s="66" t="s">
        <v>599</v>
      </c>
      <c r="D12" s="83"/>
      <c r="E12" s="83"/>
      <c r="F12" s="66"/>
      <c r="G12" s="88"/>
    </row>
    <row r="13" spans="1:7" ht="15.75" x14ac:dyDescent="0.2">
      <c r="A13" s="70"/>
      <c r="B13" s="65"/>
      <c r="C13" s="66"/>
      <c r="D13" s="66"/>
      <c r="E13" s="66"/>
      <c r="F13" s="66"/>
      <c r="G13" s="88"/>
    </row>
    <row r="14" spans="1:7" ht="31.5" x14ac:dyDescent="0.2">
      <c r="A14" s="67" t="s">
        <v>605</v>
      </c>
      <c r="B14" s="65" t="s">
        <v>606</v>
      </c>
      <c r="C14" s="66" t="s">
        <v>838</v>
      </c>
      <c r="D14" s="83"/>
      <c r="E14" s="83"/>
      <c r="F14" s="66"/>
      <c r="G14" s="88"/>
    </row>
    <row r="15" spans="1:7" ht="15.75" x14ac:dyDescent="0.2">
      <c r="A15" s="67"/>
      <c r="B15" s="65" t="s">
        <v>607</v>
      </c>
      <c r="C15" s="68" t="s">
        <v>598</v>
      </c>
      <c r="D15" s="83"/>
      <c r="E15" s="83"/>
      <c r="F15" s="66"/>
      <c r="G15" s="88"/>
    </row>
    <row r="16" spans="1:7" ht="15.75" x14ac:dyDescent="0.2">
      <c r="A16" s="67"/>
      <c r="B16" s="65" t="s">
        <v>608</v>
      </c>
      <c r="C16" s="66" t="s">
        <v>599</v>
      </c>
      <c r="D16" s="83"/>
      <c r="E16" s="83"/>
      <c r="F16" s="66"/>
      <c r="G16" s="88"/>
    </row>
    <row r="17" spans="1:7" ht="15.75" x14ac:dyDescent="0.2">
      <c r="A17" s="69"/>
      <c r="B17" s="65"/>
      <c r="C17" s="66"/>
      <c r="D17" s="66"/>
      <c r="E17" s="66"/>
      <c r="F17" s="66"/>
      <c r="G17" s="88"/>
    </row>
    <row r="18" spans="1:7" ht="31.5" x14ac:dyDescent="0.2">
      <c r="A18" s="590" t="s">
        <v>609</v>
      </c>
      <c r="B18" s="65" t="s">
        <v>610</v>
      </c>
      <c r="C18" s="66" t="s">
        <v>611</v>
      </c>
      <c r="D18" s="83"/>
      <c r="E18" s="83"/>
      <c r="F18" s="66"/>
      <c r="G18" s="88"/>
    </row>
    <row r="19" spans="1:7" ht="15.75" x14ac:dyDescent="0.2">
      <c r="A19" s="590"/>
      <c r="B19" s="71" t="s">
        <v>446</v>
      </c>
      <c r="C19" s="68"/>
      <c r="D19" s="83"/>
      <c r="E19" s="83"/>
      <c r="F19" s="66"/>
      <c r="G19" s="88"/>
    </row>
    <row r="20" spans="1:7" ht="15.75" x14ac:dyDescent="0.2">
      <c r="A20" s="590"/>
      <c r="B20" s="71" t="s">
        <v>467</v>
      </c>
      <c r="C20" s="68" t="s">
        <v>837</v>
      </c>
      <c r="D20" s="83"/>
      <c r="E20" s="83"/>
      <c r="F20" s="66"/>
      <c r="G20" s="88"/>
    </row>
    <row r="21" spans="1:7" ht="15.75" x14ac:dyDescent="0.2">
      <c r="A21" s="590"/>
      <c r="B21" s="71" t="s">
        <v>797</v>
      </c>
      <c r="C21" s="68" t="s">
        <v>837</v>
      </c>
      <c r="D21" s="83"/>
      <c r="E21" s="83"/>
      <c r="F21" s="66"/>
      <c r="G21" s="88"/>
    </row>
    <row r="22" spans="1:7" ht="15.75" x14ac:dyDescent="0.2">
      <c r="A22" s="590"/>
      <c r="B22" s="71" t="s">
        <v>798</v>
      </c>
      <c r="C22" s="68" t="s">
        <v>837</v>
      </c>
      <c r="D22" s="83"/>
      <c r="E22" s="83"/>
      <c r="F22" s="66"/>
      <c r="G22" s="88"/>
    </row>
    <row r="23" spans="1:7" ht="15.75" x14ac:dyDescent="0.2">
      <c r="A23" s="590"/>
      <c r="B23" s="71" t="s">
        <v>799</v>
      </c>
      <c r="C23" s="68" t="s">
        <v>837</v>
      </c>
      <c r="D23" s="83"/>
      <c r="E23" s="83"/>
      <c r="F23" s="66"/>
      <c r="G23" s="88"/>
    </row>
    <row r="24" spans="1:7" ht="15.75" x14ac:dyDescent="0.2">
      <c r="A24" s="590"/>
      <c r="B24" s="71" t="s">
        <v>468</v>
      </c>
      <c r="C24" s="68" t="s">
        <v>837</v>
      </c>
      <c r="D24" s="83"/>
      <c r="E24" s="83"/>
      <c r="F24" s="66"/>
      <c r="G24" s="88"/>
    </row>
    <row r="25" spans="1:7" ht="31.5" x14ac:dyDescent="0.2">
      <c r="A25" s="590"/>
      <c r="B25" s="65" t="s">
        <v>612</v>
      </c>
      <c r="C25" s="66" t="s">
        <v>599</v>
      </c>
      <c r="D25" s="83"/>
      <c r="E25" s="83"/>
      <c r="F25" s="66"/>
      <c r="G25" s="88"/>
    </row>
    <row r="26" spans="1:7" ht="15.75" x14ac:dyDescent="0.2">
      <c r="A26" s="67"/>
      <c r="B26" s="65"/>
      <c r="C26" s="66"/>
      <c r="D26" s="83"/>
      <c r="E26" s="83"/>
      <c r="F26" s="66"/>
      <c r="G26" s="88"/>
    </row>
    <row r="27" spans="1:7" ht="15.75" x14ac:dyDescent="0.2">
      <c r="A27" s="590" t="s">
        <v>613</v>
      </c>
      <c r="B27" s="65" t="s">
        <v>614</v>
      </c>
      <c r="C27" s="66" t="s">
        <v>615</v>
      </c>
      <c r="D27" s="83"/>
      <c r="E27" s="83"/>
      <c r="F27" s="66"/>
      <c r="G27" s="88"/>
    </row>
    <row r="28" spans="1:7" ht="15.75" x14ac:dyDescent="0.2">
      <c r="A28" s="590"/>
      <c r="B28" s="71" t="s">
        <v>446</v>
      </c>
      <c r="C28" s="66"/>
      <c r="D28" s="83"/>
      <c r="E28" s="83"/>
      <c r="F28" s="66"/>
      <c r="G28" s="88"/>
    </row>
    <row r="29" spans="1:7" ht="15.75" x14ac:dyDescent="0.2">
      <c r="A29" s="590"/>
      <c r="B29" s="71" t="s">
        <v>467</v>
      </c>
      <c r="C29" s="66" t="s">
        <v>615</v>
      </c>
      <c r="D29" s="83"/>
      <c r="E29" s="83"/>
      <c r="F29" s="66"/>
      <c r="G29" s="88"/>
    </row>
    <row r="30" spans="1:7" ht="15.75" x14ac:dyDescent="0.2">
      <c r="A30" s="590"/>
      <c r="B30" s="71" t="s">
        <v>797</v>
      </c>
      <c r="C30" s="66" t="s">
        <v>615</v>
      </c>
      <c r="D30" s="83"/>
      <c r="E30" s="83"/>
      <c r="F30" s="66"/>
      <c r="G30" s="88"/>
    </row>
    <row r="31" spans="1:7" ht="15.75" x14ac:dyDescent="0.2">
      <c r="A31" s="590"/>
      <c r="B31" s="71" t="s">
        <v>798</v>
      </c>
      <c r="C31" s="66" t="s">
        <v>615</v>
      </c>
      <c r="D31" s="83"/>
      <c r="E31" s="83"/>
      <c r="F31" s="66"/>
      <c r="G31" s="88"/>
    </row>
    <row r="32" spans="1:7" ht="15.75" x14ac:dyDescent="0.2">
      <c r="A32" s="590"/>
      <c r="B32" s="71" t="s">
        <v>799</v>
      </c>
      <c r="C32" s="66" t="s">
        <v>615</v>
      </c>
      <c r="D32" s="83"/>
      <c r="E32" s="83"/>
      <c r="F32" s="66"/>
      <c r="G32" s="88"/>
    </row>
    <row r="33" spans="1:7" ht="15.75" x14ac:dyDescent="0.2">
      <c r="A33" s="590"/>
      <c r="B33" s="71" t="s">
        <v>468</v>
      </c>
      <c r="C33" s="66" t="s">
        <v>615</v>
      </c>
      <c r="D33" s="83"/>
      <c r="E33" s="83"/>
      <c r="F33" s="66"/>
      <c r="G33" s="88"/>
    </row>
    <row r="34" spans="1:7" ht="15.75" x14ac:dyDescent="0.2">
      <c r="A34" s="70"/>
      <c r="B34" s="71"/>
      <c r="C34" s="66"/>
      <c r="D34" s="83"/>
      <c r="E34" s="83"/>
      <c r="F34" s="66"/>
      <c r="G34" s="88"/>
    </row>
    <row r="35" spans="1:7" ht="15.75" x14ac:dyDescent="0.2">
      <c r="A35" s="590" t="s">
        <v>836</v>
      </c>
      <c r="B35" s="587" t="s">
        <v>616</v>
      </c>
      <c r="C35" s="66" t="s">
        <v>838</v>
      </c>
      <c r="D35" s="83"/>
      <c r="E35" s="83"/>
      <c r="F35" s="66"/>
      <c r="G35" s="88"/>
    </row>
    <row r="36" spans="1:7" ht="15.75" x14ac:dyDescent="0.2">
      <c r="A36" s="590"/>
      <c r="B36" s="588"/>
      <c r="C36" s="68" t="s">
        <v>598</v>
      </c>
      <c r="D36" s="83"/>
      <c r="E36" s="83"/>
      <c r="F36" s="66"/>
      <c r="G36" s="88"/>
    </row>
    <row r="37" spans="1:7" ht="15.75" x14ac:dyDescent="0.2">
      <c r="A37" s="590"/>
      <c r="B37" s="65" t="s">
        <v>617</v>
      </c>
      <c r="C37" s="66"/>
      <c r="D37" s="83"/>
      <c r="E37" s="83"/>
      <c r="F37" s="66"/>
      <c r="G37" s="88"/>
    </row>
    <row r="38" spans="1:7" ht="15.75" x14ac:dyDescent="0.2">
      <c r="A38" s="590"/>
      <c r="B38" s="587" t="s">
        <v>618</v>
      </c>
      <c r="C38" s="66" t="s">
        <v>838</v>
      </c>
      <c r="D38" s="83"/>
      <c r="E38" s="83"/>
      <c r="F38" s="66"/>
      <c r="G38" s="88"/>
    </row>
    <row r="39" spans="1:7" ht="15.75" x14ac:dyDescent="0.2">
      <c r="A39" s="590"/>
      <c r="B39" s="587"/>
      <c r="C39" s="68" t="s">
        <v>598</v>
      </c>
      <c r="D39" s="83"/>
      <c r="E39" s="83"/>
      <c r="F39" s="66"/>
      <c r="G39" s="88"/>
    </row>
    <row r="40" spans="1:7" ht="15.75" x14ac:dyDescent="0.2">
      <c r="A40" s="590"/>
      <c r="B40" s="587" t="s">
        <v>619</v>
      </c>
      <c r="C40" s="66" t="s">
        <v>838</v>
      </c>
      <c r="D40" s="83"/>
      <c r="E40" s="83"/>
      <c r="F40" s="66"/>
      <c r="G40" s="88"/>
    </row>
    <row r="41" spans="1:7" ht="15.75" x14ac:dyDescent="0.2">
      <c r="A41" s="590"/>
      <c r="B41" s="587"/>
      <c r="C41" s="68" t="s">
        <v>598</v>
      </c>
      <c r="D41" s="83"/>
      <c r="E41" s="83"/>
      <c r="F41" s="66"/>
      <c r="G41" s="88"/>
    </row>
    <row r="42" spans="1:7" ht="15.75" x14ac:dyDescent="0.2">
      <c r="A42" s="590"/>
      <c r="B42" s="587" t="s">
        <v>620</v>
      </c>
      <c r="C42" s="66" t="s">
        <v>838</v>
      </c>
      <c r="D42" s="83"/>
      <c r="E42" s="83"/>
      <c r="F42" s="66"/>
      <c r="G42" s="88"/>
    </row>
    <row r="43" spans="1:7" ht="15.75" x14ac:dyDescent="0.2">
      <c r="A43" s="590"/>
      <c r="B43" s="587"/>
      <c r="C43" s="68" t="s">
        <v>598</v>
      </c>
      <c r="D43" s="83"/>
      <c r="E43" s="83"/>
      <c r="F43" s="66"/>
      <c r="G43" s="88"/>
    </row>
    <row r="44" spans="1:7" ht="15.75" x14ac:dyDescent="0.2">
      <c r="A44" s="590"/>
      <c r="B44" s="587" t="s">
        <v>621</v>
      </c>
      <c r="C44" s="66" t="s">
        <v>838</v>
      </c>
      <c r="D44" s="83"/>
      <c r="E44" s="83"/>
      <c r="F44" s="66"/>
      <c r="G44" s="88"/>
    </row>
    <row r="45" spans="1:7" ht="15.75" x14ac:dyDescent="0.2">
      <c r="A45" s="590"/>
      <c r="B45" s="587"/>
      <c r="C45" s="68" t="s">
        <v>598</v>
      </c>
      <c r="D45" s="83"/>
      <c r="E45" s="83"/>
      <c r="F45" s="66"/>
      <c r="G45" s="88"/>
    </row>
    <row r="46" spans="1:7" ht="15.75" x14ac:dyDescent="0.2">
      <c r="A46" s="590"/>
      <c r="B46" s="587" t="s">
        <v>622</v>
      </c>
      <c r="C46" s="66" t="s">
        <v>838</v>
      </c>
      <c r="D46" s="83"/>
      <c r="E46" s="83"/>
      <c r="F46" s="66"/>
      <c r="G46" s="88"/>
    </row>
    <row r="47" spans="1:7" ht="15.75" x14ac:dyDescent="0.2">
      <c r="A47" s="590"/>
      <c r="B47" s="587"/>
      <c r="C47" s="68" t="s">
        <v>598</v>
      </c>
      <c r="D47" s="83"/>
      <c r="E47" s="83"/>
      <c r="F47" s="66"/>
      <c r="G47" s="88"/>
    </row>
    <row r="48" spans="1:7" ht="15.75" x14ac:dyDescent="0.2">
      <c r="A48" s="590"/>
      <c r="B48" s="587" t="s">
        <v>623</v>
      </c>
      <c r="C48" s="66" t="s">
        <v>838</v>
      </c>
      <c r="D48" s="83"/>
      <c r="E48" s="83"/>
      <c r="F48" s="66"/>
      <c r="G48" s="88"/>
    </row>
    <row r="49" spans="1:7" ht="15.75" x14ac:dyDescent="0.2">
      <c r="A49" s="590"/>
      <c r="B49" s="587"/>
      <c r="C49" s="68" t="s">
        <v>598</v>
      </c>
      <c r="D49" s="83"/>
      <c r="E49" s="83"/>
      <c r="F49" s="66"/>
      <c r="G49" s="88"/>
    </row>
    <row r="50" spans="1:7" ht="15.75" x14ac:dyDescent="0.2">
      <c r="A50" s="590"/>
      <c r="B50" s="587" t="s">
        <v>624</v>
      </c>
      <c r="C50" s="66" t="s">
        <v>838</v>
      </c>
      <c r="D50" s="83"/>
      <c r="E50" s="83"/>
      <c r="F50" s="66"/>
      <c r="G50" s="88"/>
    </row>
    <row r="51" spans="1:7" ht="15.75" x14ac:dyDescent="0.2">
      <c r="A51" s="590"/>
      <c r="B51" s="587"/>
      <c r="C51" s="68" t="s">
        <v>598</v>
      </c>
      <c r="D51" s="83"/>
      <c r="E51" s="83"/>
      <c r="F51" s="66"/>
      <c r="G51" s="88"/>
    </row>
    <row r="52" spans="1:7" ht="15.75" x14ac:dyDescent="0.2">
      <c r="A52" s="590"/>
      <c r="B52" s="587" t="s">
        <v>625</v>
      </c>
      <c r="C52" s="66" t="s">
        <v>838</v>
      </c>
      <c r="D52" s="83"/>
      <c r="E52" s="83"/>
      <c r="F52" s="66"/>
      <c r="G52" s="88"/>
    </row>
    <row r="53" spans="1:7" ht="15.75" x14ac:dyDescent="0.2">
      <c r="A53" s="590"/>
      <c r="B53" s="587"/>
      <c r="C53" s="68" t="s">
        <v>598</v>
      </c>
      <c r="D53" s="83"/>
      <c r="E53" s="83"/>
      <c r="F53" s="66"/>
      <c r="G53" s="88"/>
    </row>
    <row r="54" spans="1:7" ht="15.75" x14ac:dyDescent="0.2">
      <c r="A54" s="590"/>
      <c r="B54" s="587" t="s">
        <v>653</v>
      </c>
      <c r="C54" s="66" t="s">
        <v>838</v>
      </c>
      <c r="D54" s="83"/>
      <c r="E54" s="83"/>
      <c r="F54" s="83"/>
      <c r="G54" s="83"/>
    </row>
    <row r="55" spans="1:7" ht="15.75" x14ac:dyDescent="0.2">
      <c r="A55" s="590"/>
      <c r="B55" s="587"/>
      <c r="C55" s="68" t="s">
        <v>598</v>
      </c>
      <c r="D55" s="83"/>
      <c r="E55" s="83"/>
      <c r="F55" s="83"/>
      <c r="G55" s="83"/>
    </row>
    <row r="56" spans="1:7" ht="15.75" x14ac:dyDescent="0.2">
      <c r="A56" s="590"/>
      <c r="B56" s="587" t="s">
        <v>654</v>
      </c>
      <c r="C56" s="66" t="s">
        <v>655</v>
      </c>
      <c r="D56" s="83"/>
      <c r="E56" s="83"/>
      <c r="F56" s="66"/>
      <c r="G56" s="90"/>
    </row>
    <row r="57" spans="1:7" ht="15.75" x14ac:dyDescent="0.2">
      <c r="A57" s="590"/>
      <c r="B57" s="587"/>
      <c r="C57" s="68" t="s">
        <v>656</v>
      </c>
      <c r="D57" s="83"/>
      <c r="E57" s="83"/>
      <c r="F57" s="66"/>
      <c r="G57" s="88"/>
    </row>
    <row r="58" spans="1:7" ht="15.75" x14ac:dyDescent="0.2">
      <c r="A58" s="590"/>
      <c r="B58" s="587" t="s">
        <v>657</v>
      </c>
      <c r="C58" s="66" t="s">
        <v>655</v>
      </c>
      <c r="D58" s="83"/>
      <c r="E58" s="83"/>
      <c r="F58" s="66"/>
      <c r="G58" s="88"/>
    </row>
    <row r="59" spans="1:7" ht="15.75" x14ac:dyDescent="0.2">
      <c r="A59" s="590"/>
      <c r="B59" s="587"/>
      <c r="C59" s="68" t="s">
        <v>656</v>
      </c>
      <c r="D59" s="83"/>
      <c r="E59" s="83"/>
      <c r="F59" s="66"/>
      <c r="G59" s="88"/>
    </row>
    <row r="60" spans="1:7" ht="15.75" x14ac:dyDescent="0.2">
      <c r="A60" s="590"/>
      <c r="B60" s="587" t="s">
        <v>658</v>
      </c>
      <c r="C60" s="66" t="s">
        <v>655</v>
      </c>
      <c r="D60" s="83"/>
      <c r="E60" s="83"/>
      <c r="F60" s="66"/>
      <c r="G60" s="88"/>
    </row>
    <row r="61" spans="1:7" ht="15.75" x14ac:dyDescent="0.2">
      <c r="A61" s="590"/>
      <c r="B61" s="587"/>
      <c r="C61" s="68" t="s">
        <v>656</v>
      </c>
      <c r="D61" s="83"/>
      <c r="E61" s="83"/>
      <c r="F61" s="66"/>
      <c r="G61" s="88"/>
    </row>
    <row r="62" spans="1:7" ht="15.75" x14ac:dyDescent="0.2">
      <c r="A62" s="590"/>
      <c r="B62" s="587" t="s">
        <v>659</v>
      </c>
      <c r="C62" s="66" t="s">
        <v>655</v>
      </c>
      <c r="D62" s="83"/>
      <c r="E62" s="83"/>
      <c r="F62" s="66"/>
      <c r="G62" s="88"/>
    </row>
    <row r="63" spans="1:7" ht="15.75" x14ac:dyDescent="0.2">
      <c r="A63" s="590"/>
      <c r="B63" s="587"/>
      <c r="C63" s="68" t="s">
        <v>656</v>
      </c>
      <c r="D63" s="83"/>
      <c r="E63" s="83"/>
      <c r="F63" s="66"/>
      <c r="G63" s="88"/>
    </row>
    <row r="64" spans="1:7" ht="15.75" x14ac:dyDescent="0.2">
      <c r="A64" s="590"/>
      <c r="B64" s="65" t="s">
        <v>660</v>
      </c>
      <c r="C64" s="66" t="s">
        <v>599</v>
      </c>
      <c r="D64" s="83"/>
      <c r="E64" s="83"/>
      <c r="F64" s="84"/>
      <c r="G64" s="85"/>
    </row>
    <row r="65" spans="1:7" ht="15.75" x14ac:dyDescent="0.2">
      <c r="A65" s="590"/>
      <c r="B65" s="65" t="s">
        <v>470</v>
      </c>
      <c r="C65" s="66"/>
      <c r="D65" s="91"/>
      <c r="E65" s="91"/>
      <c r="F65" s="92"/>
      <c r="G65" s="93"/>
    </row>
    <row r="66" spans="1:7" ht="15.75" x14ac:dyDescent="0.2">
      <c r="A66" s="590"/>
      <c r="B66" s="65" t="s">
        <v>661</v>
      </c>
      <c r="C66" s="66" t="s">
        <v>599</v>
      </c>
      <c r="D66" s="83"/>
      <c r="E66" s="83"/>
      <c r="F66" s="66"/>
      <c r="G66" s="88"/>
    </row>
    <row r="67" spans="1:7" ht="15.75" x14ac:dyDescent="0.2">
      <c r="A67" s="69"/>
      <c r="B67" s="65"/>
      <c r="C67" s="66"/>
      <c r="D67" s="66"/>
      <c r="E67" s="66"/>
      <c r="F67" s="66"/>
      <c r="G67" s="88"/>
    </row>
    <row r="68" spans="1:7" ht="15.75" x14ac:dyDescent="0.2">
      <c r="A68" s="48"/>
      <c r="B68" s="591" t="s">
        <v>662</v>
      </c>
      <c r="C68" s="592"/>
      <c r="D68" s="592"/>
      <c r="E68" s="592"/>
      <c r="F68" s="49"/>
      <c r="G68" s="54"/>
    </row>
    <row r="69" spans="1:7" ht="15.75" x14ac:dyDescent="0.2">
      <c r="A69" s="48"/>
      <c r="B69" s="55"/>
      <c r="C69" s="50"/>
      <c r="D69" s="50"/>
      <c r="E69" s="50"/>
      <c r="F69" s="49"/>
      <c r="G69" s="54"/>
    </row>
    <row r="70" spans="1:7" ht="15.75" x14ac:dyDescent="0.2">
      <c r="A70" s="593" t="s">
        <v>663</v>
      </c>
      <c r="B70" s="72" t="s">
        <v>340</v>
      </c>
      <c r="C70" s="73" t="s">
        <v>472</v>
      </c>
      <c r="D70" s="66"/>
      <c r="E70" s="66"/>
      <c r="F70" s="66"/>
      <c r="G70" s="88"/>
    </row>
    <row r="71" spans="1:7" ht="15.75" x14ac:dyDescent="0.2">
      <c r="A71" s="593"/>
      <c r="B71" s="72" t="s">
        <v>446</v>
      </c>
      <c r="C71" s="73"/>
      <c r="D71" s="66"/>
      <c r="E71" s="66"/>
      <c r="F71" s="66"/>
      <c r="G71" s="88"/>
    </row>
    <row r="72" spans="1:7" ht="15.75" x14ac:dyDescent="0.2">
      <c r="A72" s="593"/>
      <c r="B72" s="72" t="s">
        <v>341</v>
      </c>
      <c r="C72" s="73" t="s">
        <v>472</v>
      </c>
      <c r="D72" s="66"/>
      <c r="E72" s="66"/>
      <c r="F72" s="66"/>
      <c r="G72" s="88"/>
    </row>
    <row r="73" spans="1:7" ht="94.5" x14ac:dyDescent="0.2">
      <c r="A73" s="593"/>
      <c r="B73" s="72" t="s">
        <v>407</v>
      </c>
      <c r="C73" s="73" t="s">
        <v>472</v>
      </c>
      <c r="D73" s="66"/>
      <c r="E73" s="66"/>
      <c r="F73" s="66"/>
      <c r="G73" s="88"/>
    </row>
    <row r="74" spans="1:7" ht="15.75" x14ac:dyDescent="0.2">
      <c r="A74" s="593"/>
      <c r="B74" s="72" t="s">
        <v>408</v>
      </c>
      <c r="C74" s="73" t="s">
        <v>599</v>
      </c>
      <c r="D74" s="66"/>
      <c r="E74" s="66"/>
      <c r="F74" s="66"/>
      <c r="G74" s="88"/>
    </row>
    <row r="75" spans="1:7" ht="15.75" x14ac:dyDescent="0.2">
      <c r="A75" s="593"/>
      <c r="B75" s="72" t="s">
        <v>446</v>
      </c>
      <c r="C75" s="73"/>
      <c r="D75" s="66"/>
      <c r="E75" s="66"/>
      <c r="F75" s="66"/>
      <c r="G75" s="88"/>
    </row>
    <row r="76" spans="1:7" ht="15.75" x14ac:dyDescent="0.2">
      <c r="A76" s="593"/>
      <c r="B76" s="72" t="s">
        <v>341</v>
      </c>
      <c r="C76" s="73" t="s">
        <v>469</v>
      </c>
      <c r="D76" s="66"/>
      <c r="E76" s="66"/>
      <c r="F76" s="66"/>
      <c r="G76" s="88"/>
    </row>
    <row r="77" spans="1:7" ht="15.75" x14ac:dyDescent="0.2">
      <c r="A77" s="593"/>
      <c r="B77" s="72" t="s">
        <v>409</v>
      </c>
      <c r="C77" s="73" t="s">
        <v>469</v>
      </c>
      <c r="D77" s="66"/>
      <c r="E77" s="66"/>
      <c r="F77" s="66"/>
      <c r="G77" s="88"/>
    </row>
    <row r="78" spans="1:7" ht="15.75" x14ac:dyDescent="0.2">
      <c r="A78" s="74"/>
      <c r="B78" s="72"/>
      <c r="C78" s="73"/>
      <c r="D78" s="66"/>
      <c r="E78" s="66"/>
      <c r="F78" s="66"/>
      <c r="G78" s="88"/>
    </row>
    <row r="79" spans="1:7" ht="15.75" customHeight="1" x14ac:dyDescent="0.2">
      <c r="A79" s="593" t="s">
        <v>410</v>
      </c>
      <c r="B79" s="72" t="s">
        <v>411</v>
      </c>
      <c r="C79" s="73" t="s">
        <v>472</v>
      </c>
      <c r="D79" s="66"/>
      <c r="E79" s="66"/>
      <c r="F79" s="66"/>
      <c r="G79" s="88"/>
    </row>
    <row r="80" spans="1:7" ht="15.75" x14ac:dyDescent="0.2">
      <c r="A80" s="593"/>
      <c r="B80" s="72"/>
      <c r="C80" s="75" t="s">
        <v>598</v>
      </c>
      <c r="D80" s="66"/>
      <c r="E80" s="66"/>
      <c r="F80" s="66"/>
      <c r="G80" s="88"/>
    </row>
    <row r="81" spans="1:7" ht="15.75" x14ac:dyDescent="0.2">
      <c r="A81" s="593"/>
      <c r="B81" s="72" t="s">
        <v>446</v>
      </c>
      <c r="C81" s="73"/>
      <c r="D81" s="66"/>
      <c r="E81" s="66"/>
      <c r="F81" s="66"/>
      <c r="G81" s="88"/>
    </row>
    <row r="82" spans="1:7" ht="15.75" x14ac:dyDescent="0.2">
      <c r="A82" s="593"/>
      <c r="B82" s="72" t="s">
        <v>341</v>
      </c>
      <c r="C82" s="73" t="s">
        <v>472</v>
      </c>
      <c r="D82" s="66"/>
      <c r="E82" s="66"/>
      <c r="F82" s="66"/>
      <c r="G82" s="88"/>
    </row>
    <row r="83" spans="1:7" ht="15.75" x14ac:dyDescent="0.2">
      <c r="A83" s="593"/>
      <c r="B83" s="72"/>
      <c r="C83" s="75" t="s">
        <v>656</v>
      </c>
      <c r="D83" s="66"/>
      <c r="E83" s="66"/>
      <c r="F83" s="66"/>
      <c r="G83" s="88"/>
    </row>
    <row r="84" spans="1:7" ht="15.75" x14ac:dyDescent="0.2">
      <c r="A84" s="74"/>
      <c r="B84" s="72"/>
      <c r="C84" s="73"/>
      <c r="D84" s="66"/>
      <c r="E84" s="66"/>
      <c r="F84" s="66"/>
      <c r="G84" s="88"/>
    </row>
    <row r="85" spans="1:7" ht="15.75" x14ac:dyDescent="0.2">
      <c r="A85" s="593" t="s">
        <v>412</v>
      </c>
      <c r="B85" s="72" t="s">
        <v>413</v>
      </c>
      <c r="C85" s="73" t="s">
        <v>615</v>
      </c>
      <c r="D85" s="66"/>
      <c r="E85" s="66"/>
      <c r="F85" s="66"/>
      <c r="G85" s="88"/>
    </row>
    <row r="86" spans="1:7" ht="15.75" x14ac:dyDescent="0.2">
      <c r="A86" s="593"/>
      <c r="B86" s="72" t="s">
        <v>294</v>
      </c>
      <c r="C86" s="73"/>
      <c r="D86" s="66"/>
      <c r="E86" s="66"/>
      <c r="F86" s="66"/>
      <c r="G86" s="88"/>
    </row>
    <row r="87" spans="1:7" ht="15.75" x14ac:dyDescent="0.2">
      <c r="A87" s="593"/>
      <c r="B87" s="72" t="s">
        <v>414</v>
      </c>
      <c r="C87" s="73" t="s">
        <v>615</v>
      </c>
      <c r="D87" s="66"/>
      <c r="E87" s="66"/>
      <c r="F87" s="66"/>
      <c r="G87" s="88"/>
    </row>
    <row r="88" spans="1:7" ht="31.5" x14ac:dyDescent="0.2">
      <c r="A88" s="593"/>
      <c r="B88" s="72" t="s">
        <v>415</v>
      </c>
      <c r="C88" s="73" t="s">
        <v>615</v>
      </c>
      <c r="D88" s="66"/>
      <c r="E88" s="66"/>
      <c r="F88" s="66"/>
      <c r="G88" s="88"/>
    </row>
    <row r="89" spans="1:7" ht="15.75" x14ac:dyDescent="0.2">
      <c r="A89" s="593"/>
      <c r="B89" s="72" t="s">
        <v>294</v>
      </c>
      <c r="C89" s="73"/>
      <c r="D89" s="66"/>
      <c r="E89" s="66"/>
      <c r="F89" s="66"/>
      <c r="G89" s="88"/>
    </row>
    <row r="90" spans="1:7" ht="15.75" x14ac:dyDescent="0.2">
      <c r="A90" s="593"/>
      <c r="B90" s="72" t="s">
        <v>416</v>
      </c>
      <c r="C90" s="73" t="s">
        <v>615</v>
      </c>
      <c r="D90" s="66"/>
      <c r="E90" s="66"/>
      <c r="F90" s="66"/>
      <c r="G90" s="88"/>
    </row>
    <row r="91" spans="1:7" ht="15.75" x14ac:dyDescent="0.2">
      <c r="A91" s="74"/>
      <c r="B91" s="72"/>
      <c r="C91" s="73"/>
      <c r="D91" s="66"/>
      <c r="E91" s="66"/>
      <c r="F91" s="66"/>
      <c r="G91" s="88"/>
    </row>
    <row r="92" spans="1:7" ht="31.5" x14ac:dyDescent="0.2">
      <c r="A92" s="593" t="s">
        <v>417</v>
      </c>
      <c r="B92" s="72" t="s">
        <v>418</v>
      </c>
      <c r="C92" s="73" t="s">
        <v>615</v>
      </c>
      <c r="D92" s="94"/>
      <c r="E92" s="94"/>
      <c r="F92" s="94"/>
      <c r="G92" s="95"/>
    </row>
    <row r="93" spans="1:7" ht="15.75" x14ac:dyDescent="0.2">
      <c r="A93" s="593"/>
      <c r="B93" s="72" t="s">
        <v>294</v>
      </c>
      <c r="C93" s="73"/>
      <c r="D93" s="94"/>
      <c r="E93" s="94"/>
      <c r="F93" s="94"/>
      <c r="G93" s="95"/>
    </row>
    <row r="94" spans="1:7" ht="15.75" x14ac:dyDescent="0.2">
      <c r="A94" s="593"/>
      <c r="B94" s="72" t="s">
        <v>419</v>
      </c>
      <c r="C94" s="73" t="s">
        <v>615</v>
      </c>
      <c r="D94" s="96"/>
      <c r="E94" s="96"/>
      <c r="F94" s="96"/>
      <c r="G94" s="97"/>
    </row>
    <row r="95" spans="1:7" ht="15.75" x14ac:dyDescent="0.2">
      <c r="A95" s="74"/>
      <c r="B95" s="72"/>
      <c r="C95" s="73"/>
      <c r="D95" s="94"/>
      <c r="E95" s="94"/>
      <c r="F95" s="94"/>
      <c r="G95" s="95"/>
    </row>
    <row r="96" spans="1:7" ht="31.5" x14ac:dyDescent="0.2">
      <c r="A96" s="593" t="s">
        <v>420</v>
      </c>
      <c r="B96" s="72" t="s">
        <v>436</v>
      </c>
      <c r="C96" s="73" t="s">
        <v>615</v>
      </c>
      <c r="D96" s="94"/>
      <c r="E96" s="94"/>
      <c r="F96" s="94"/>
      <c r="G96" s="95"/>
    </row>
    <row r="97" spans="1:7" ht="15.75" x14ac:dyDescent="0.2">
      <c r="A97" s="593"/>
      <c r="B97" s="72" t="s">
        <v>446</v>
      </c>
      <c r="C97" s="73"/>
      <c r="D97" s="94"/>
      <c r="E97" s="94"/>
      <c r="F97" s="94"/>
      <c r="G97" s="95"/>
    </row>
    <row r="98" spans="1:7" ht="15.75" x14ac:dyDescent="0.2">
      <c r="A98" s="593"/>
      <c r="B98" s="72" t="s">
        <v>437</v>
      </c>
      <c r="C98" s="73" t="s">
        <v>615</v>
      </c>
      <c r="D98" s="94"/>
      <c r="E98" s="94"/>
      <c r="F98" s="94"/>
      <c r="G98" s="95"/>
    </row>
    <row r="99" spans="1:7" ht="15.75" x14ac:dyDescent="0.2">
      <c r="A99" s="593"/>
      <c r="B99" s="72" t="s">
        <v>294</v>
      </c>
      <c r="C99" s="73"/>
      <c r="D99" s="94"/>
      <c r="E99" s="94"/>
      <c r="F99" s="94"/>
      <c r="G99" s="95"/>
    </row>
    <row r="100" spans="1:7" ht="31.5" x14ac:dyDescent="0.2">
      <c r="A100" s="593"/>
      <c r="B100" s="72" t="s">
        <v>438</v>
      </c>
      <c r="C100" s="73" t="s">
        <v>615</v>
      </c>
      <c r="D100" s="94"/>
      <c r="E100" s="94"/>
      <c r="F100" s="94"/>
      <c r="G100" s="95"/>
    </row>
    <row r="101" spans="1:7" ht="32.25" thickBot="1" x14ac:dyDescent="0.25">
      <c r="A101" s="594"/>
      <c r="B101" s="72" t="s">
        <v>439</v>
      </c>
      <c r="C101" s="76" t="s">
        <v>615</v>
      </c>
      <c r="D101" s="98"/>
      <c r="E101" s="98"/>
      <c r="F101" s="98"/>
      <c r="G101" s="99"/>
    </row>
    <row r="102" spans="1:7" ht="13.5" thickTop="1" x14ac:dyDescent="0.2">
      <c r="A102" s="42"/>
      <c r="B102" s="77"/>
      <c r="C102" s="78"/>
      <c r="D102" s="42"/>
      <c r="E102" s="42"/>
      <c r="F102" s="42"/>
      <c r="G102" s="42"/>
    </row>
    <row r="103" spans="1:7" ht="31.5" x14ac:dyDescent="0.2">
      <c r="A103" s="42"/>
      <c r="B103" s="79" t="s">
        <v>441</v>
      </c>
      <c r="C103" s="78"/>
      <c r="D103" s="42"/>
      <c r="E103" s="42"/>
      <c r="F103" s="42"/>
      <c r="G103" s="42"/>
    </row>
    <row r="104" spans="1:7" ht="15.75" x14ac:dyDescent="0.2">
      <c r="A104" s="42"/>
      <c r="B104" s="80" t="s">
        <v>442</v>
      </c>
      <c r="C104" s="81"/>
      <c r="D104" s="42"/>
      <c r="E104" s="42"/>
      <c r="F104" s="42"/>
      <c r="G104" s="42"/>
    </row>
    <row r="105" spans="1:7" ht="15.75" x14ac:dyDescent="0.2">
      <c r="A105" s="42"/>
      <c r="B105" s="82" t="s">
        <v>316</v>
      </c>
      <c r="C105" s="78"/>
      <c r="D105" s="42"/>
      <c r="E105" s="42"/>
      <c r="F105" s="42"/>
      <c r="G105" s="42"/>
    </row>
  </sheetData>
  <sheetProtection password="E16C" sheet="1" objects="1" scenarios="1"/>
  <customSheetViews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1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5"/>
      <headerFooter alignWithMargins="0"/>
    </customSheetView>
  </customSheetViews>
  <mergeCells count="25">
    <mergeCell ref="A96:A101"/>
    <mergeCell ref="A9:A11"/>
    <mergeCell ref="A70:A77"/>
    <mergeCell ref="A79:A83"/>
    <mergeCell ref="A85:A90"/>
    <mergeCell ref="A92:A94"/>
    <mergeCell ref="B68:E68"/>
    <mergeCell ref="B58:B59"/>
    <mergeCell ref="B46:B47"/>
    <mergeCell ref="B48:B49"/>
    <mergeCell ref="B60:B61"/>
    <mergeCell ref="B50:B51"/>
    <mergeCell ref="B52:B53"/>
    <mergeCell ref="B54:B55"/>
    <mergeCell ref="B56:B57"/>
    <mergeCell ref="B35:B36"/>
    <mergeCell ref="A5:A7"/>
    <mergeCell ref="A18:A25"/>
    <mergeCell ref="A27:A33"/>
    <mergeCell ref="A35:A66"/>
    <mergeCell ref="B38:B39"/>
    <mergeCell ref="B40:B41"/>
    <mergeCell ref="B42:B43"/>
    <mergeCell ref="B44:B45"/>
    <mergeCell ref="B62:B63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771</v>
      </c>
      <c r="C1" s="9"/>
      <c r="D1" s="10" t="s">
        <v>332</v>
      </c>
      <c r="E1" s="35"/>
      <c r="G1" s="11"/>
      <c r="H1" s="11"/>
    </row>
    <row r="2" spans="2:12" x14ac:dyDescent="0.2">
      <c r="B2" s="11" t="s">
        <v>772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484</v>
      </c>
      <c r="C3" s="11"/>
      <c r="D3" s="12" t="s">
        <v>773</v>
      </c>
      <c r="F3" s="11"/>
      <c r="G3" s="11"/>
      <c r="H3" s="11"/>
    </row>
    <row r="4" spans="2:12" ht="13.5" thickBot="1" x14ac:dyDescent="0.25">
      <c r="B4" s="13" t="s">
        <v>328</v>
      </c>
      <c r="C4" s="14" t="s">
        <v>774</v>
      </c>
      <c r="D4" s="14" t="s">
        <v>775</v>
      </c>
      <c r="E4" s="15">
        <v>2003</v>
      </c>
      <c r="F4" s="16" t="s">
        <v>461</v>
      </c>
      <c r="G4" s="15">
        <v>2004</v>
      </c>
      <c r="H4" s="16" t="s">
        <v>461</v>
      </c>
      <c r="I4" s="17">
        <v>2005</v>
      </c>
      <c r="J4" s="18" t="s">
        <v>462</v>
      </c>
      <c r="K4" s="17">
        <v>2006</v>
      </c>
      <c r="L4" s="18" t="s">
        <v>463</v>
      </c>
    </row>
    <row r="5" spans="2:12" ht="39" thickBot="1" x14ac:dyDescent="0.25">
      <c r="B5" s="19"/>
      <c r="C5" s="20"/>
      <c r="D5" s="36" t="s">
        <v>776</v>
      </c>
      <c r="E5" s="30" t="s">
        <v>776</v>
      </c>
      <c r="F5" s="30" t="s">
        <v>777</v>
      </c>
      <c r="G5" s="30" t="s">
        <v>776</v>
      </c>
      <c r="H5" s="30" t="s">
        <v>777</v>
      </c>
      <c r="I5" s="30" t="s">
        <v>776</v>
      </c>
      <c r="J5" s="30" t="s">
        <v>777</v>
      </c>
      <c r="K5" s="30" t="s">
        <v>776</v>
      </c>
      <c r="L5" s="37" t="s">
        <v>777</v>
      </c>
    </row>
    <row r="6" spans="2:12" x14ac:dyDescent="0.2">
      <c r="C6" s="21" t="s">
        <v>778</v>
      </c>
      <c r="D6" s="25"/>
      <c r="E6" s="25"/>
      <c r="F6" s="46"/>
      <c r="G6" s="25"/>
      <c r="H6" s="25"/>
      <c r="I6" s="25"/>
      <c r="J6" s="25"/>
    </row>
    <row r="7" spans="2:12" x14ac:dyDescent="0.2">
      <c r="B7" s="28">
        <v>2701</v>
      </c>
      <c r="C7" s="22" t="s">
        <v>779</v>
      </c>
      <c r="D7" s="25"/>
      <c r="E7" s="100"/>
      <c r="F7" s="101"/>
      <c r="G7" s="102"/>
      <c r="H7" s="101"/>
      <c r="I7" s="101"/>
      <c r="J7" s="101"/>
      <c r="K7" s="103"/>
      <c r="L7" s="103"/>
    </row>
    <row r="8" spans="2:12" x14ac:dyDescent="0.2">
      <c r="B8" s="22">
        <v>2709</v>
      </c>
      <c r="C8" t="s">
        <v>780</v>
      </c>
      <c r="D8" s="23" t="s">
        <v>479</v>
      </c>
      <c r="E8" s="100"/>
      <c r="F8" s="104"/>
      <c r="G8" s="100"/>
      <c r="H8" s="104"/>
      <c r="I8" s="104"/>
      <c r="J8" s="104"/>
      <c r="K8" s="105"/>
      <c r="L8" s="105"/>
    </row>
    <row r="9" spans="2:12" x14ac:dyDescent="0.2">
      <c r="B9" s="22">
        <v>2710</v>
      </c>
      <c r="C9" t="s">
        <v>781</v>
      </c>
      <c r="D9" s="23" t="s">
        <v>479</v>
      </c>
      <c r="E9" s="100"/>
      <c r="F9" s="104"/>
      <c r="G9" s="100"/>
      <c r="H9" s="104"/>
      <c r="I9" s="104"/>
      <c r="J9" s="104"/>
      <c r="K9" s="105"/>
      <c r="L9" s="105"/>
    </row>
    <row r="10" spans="2:12" x14ac:dyDescent="0.2">
      <c r="B10" s="22">
        <v>271121000</v>
      </c>
      <c r="C10" t="s">
        <v>782</v>
      </c>
      <c r="D10" s="23" t="s">
        <v>785</v>
      </c>
      <c r="E10" s="100"/>
      <c r="F10" s="104"/>
      <c r="G10" s="100"/>
      <c r="H10" s="104"/>
      <c r="I10" s="104"/>
      <c r="J10" s="104"/>
      <c r="K10" s="105"/>
      <c r="L10" s="105"/>
    </row>
    <row r="11" spans="2:12" x14ac:dyDescent="0.2">
      <c r="B11" s="22">
        <v>2716</v>
      </c>
      <c r="C11" t="s">
        <v>686</v>
      </c>
      <c r="D11" s="23" t="s">
        <v>786</v>
      </c>
      <c r="E11" s="100"/>
      <c r="F11" s="104"/>
      <c r="G11" s="100"/>
      <c r="H11" s="104"/>
      <c r="I11" s="104"/>
      <c r="J11" s="104"/>
      <c r="K11" s="105"/>
      <c r="L11" s="105"/>
    </row>
    <row r="12" spans="2:12" x14ac:dyDescent="0.2">
      <c r="B12" s="22">
        <v>3102</v>
      </c>
      <c r="C12" t="s">
        <v>787</v>
      </c>
      <c r="D12" s="23" t="s">
        <v>479</v>
      </c>
      <c r="E12" s="106"/>
      <c r="F12" s="105"/>
      <c r="G12" s="106"/>
      <c r="H12" s="105"/>
      <c r="I12" s="105"/>
      <c r="J12" s="105"/>
      <c r="K12" s="105"/>
      <c r="L12" s="105"/>
    </row>
    <row r="13" spans="2:12" x14ac:dyDescent="0.2">
      <c r="B13" s="22">
        <v>3104</v>
      </c>
      <c r="C13" t="s">
        <v>788</v>
      </c>
      <c r="D13" s="23" t="s">
        <v>479</v>
      </c>
      <c r="E13" s="106"/>
      <c r="F13" s="105"/>
      <c r="G13" s="106"/>
      <c r="H13" s="105"/>
      <c r="I13" s="105"/>
      <c r="J13" s="105"/>
      <c r="K13" s="105"/>
      <c r="L13" s="105"/>
    </row>
    <row r="14" spans="2:12" x14ac:dyDescent="0.2">
      <c r="B14" s="22">
        <v>3105</v>
      </c>
      <c r="C14" t="s">
        <v>789</v>
      </c>
      <c r="D14" s="23" t="s">
        <v>479</v>
      </c>
      <c r="E14" s="106"/>
      <c r="F14" s="105"/>
      <c r="G14" s="106"/>
      <c r="H14" s="105"/>
      <c r="I14" s="105"/>
      <c r="J14" s="105"/>
      <c r="K14" s="105"/>
      <c r="L14" s="105"/>
    </row>
    <row r="15" spans="2:12" x14ac:dyDescent="0.2">
      <c r="B15" s="22">
        <v>4403</v>
      </c>
      <c r="C15" t="s">
        <v>790</v>
      </c>
      <c r="D15" s="23" t="s">
        <v>791</v>
      </c>
      <c r="E15" s="106"/>
      <c r="F15" s="105"/>
      <c r="G15" s="106"/>
      <c r="H15" s="105"/>
      <c r="I15" s="105"/>
      <c r="J15" s="105"/>
      <c r="K15" s="105"/>
      <c r="L15" s="105"/>
    </row>
    <row r="16" spans="2:12" x14ac:dyDescent="0.2">
      <c r="B16" s="22">
        <v>4407</v>
      </c>
      <c r="C16" t="s">
        <v>792</v>
      </c>
      <c r="D16" s="23" t="s">
        <v>479</v>
      </c>
      <c r="E16" s="106"/>
      <c r="F16" s="105"/>
      <c r="G16" s="106"/>
      <c r="H16" s="105"/>
      <c r="I16" s="105"/>
      <c r="J16" s="105"/>
      <c r="K16" s="105"/>
      <c r="L16" s="105"/>
    </row>
    <row r="17" spans="2:12" x14ac:dyDescent="0.2">
      <c r="B17" s="22" t="s">
        <v>793</v>
      </c>
      <c r="C17" t="s">
        <v>794</v>
      </c>
      <c r="D17" s="23" t="s">
        <v>479</v>
      </c>
      <c r="E17" s="106"/>
      <c r="F17" s="105"/>
      <c r="G17" s="106"/>
      <c r="H17" s="105"/>
      <c r="I17" s="105"/>
      <c r="J17" s="105"/>
      <c r="K17" s="105"/>
      <c r="L17" s="105"/>
    </row>
    <row r="18" spans="2:12" x14ac:dyDescent="0.2">
      <c r="B18" s="22">
        <v>72</v>
      </c>
      <c r="C18" t="s">
        <v>795</v>
      </c>
      <c r="D18" s="23" t="s">
        <v>479</v>
      </c>
      <c r="E18" s="106"/>
      <c r="F18" s="105"/>
      <c r="G18" s="106"/>
      <c r="H18" s="105"/>
      <c r="I18" s="105"/>
      <c r="J18" s="105"/>
      <c r="K18" s="105"/>
      <c r="L18" s="105"/>
    </row>
    <row r="19" spans="2:12" x14ac:dyDescent="0.2">
      <c r="B19" s="22">
        <v>7403</v>
      </c>
      <c r="C19" t="s">
        <v>796</v>
      </c>
      <c r="D19" s="23" t="s">
        <v>479</v>
      </c>
      <c r="E19" s="106"/>
      <c r="F19" s="105"/>
      <c r="G19" s="106"/>
      <c r="H19" s="105"/>
      <c r="I19" s="105"/>
      <c r="J19" s="105"/>
      <c r="K19" s="105"/>
      <c r="L19" s="105"/>
    </row>
    <row r="20" spans="2:12" x14ac:dyDescent="0.2">
      <c r="B20" s="22">
        <v>7502</v>
      </c>
      <c r="C20" t="s">
        <v>800</v>
      </c>
      <c r="D20" s="23" t="s">
        <v>479</v>
      </c>
      <c r="E20" s="106"/>
      <c r="F20" s="105"/>
      <c r="G20" s="106"/>
      <c r="H20" s="105"/>
      <c r="I20" s="105"/>
      <c r="J20" s="105"/>
      <c r="K20" s="105"/>
      <c r="L20" s="105"/>
    </row>
    <row r="21" spans="2:12" x14ac:dyDescent="0.2">
      <c r="B21" s="22">
        <v>7601</v>
      </c>
      <c r="C21" t="s">
        <v>801</v>
      </c>
      <c r="D21" s="23" t="s">
        <v>479</v>
      </c>
      <c r="E21" s="106"/>
      <c r="F21" s="105"/>
      <c r="G21" s="106"/>
      <c r="H21" s="105"/>
      <c r="I21" s="105"/>
      <c r="J21" s="105"/>
      <c r="K21" s="105"/>
      <c r="L21" s="105"/>
    </row>
    <row r="22" spans="2:12" x14ac:dyDescent="0.2">
      <c r="B22" s="22" t="s">
        <v>802</v>
      </c>
      <c r="C22" t="s">
        <v>803</v>
      </c>
      <c r="D22" s="23" t="s">
        <v>804</v>
      </c>
      <c r="E22" s="106"/>
      <c r="F22" s="105"/>
      <c r="G22" s="106"/>
      <c r="H22" s="105"/>
      <c r="I22" s="105"/>
      <c r="J22" s="105"/>
      <c r="K22" s="107"/>
      <c r="L22" s="105"/>
    </row>
    <row r="23" spans="2:12" x14ac:dyDescent="0.2">
      <c r="B23" s="22">
        <v>8703</v>
      </c>
      <c r="C23" t="s">
        <v>805</v>
      </c>
      <c r="D23" s="23" t="s">
        <v>806</v>
      </c>
      <c r="E23" s="106"/>
      <c r="F23" s="105"/>
      <c r="G23" s="106"/>
      <c r="H23" s="105"/>
      <c r="I23" s="105"/>
      <c r="J23" s="105"/>
      <c r="K23" s="105"/>
      <c r="L23" s="105"/>
    </row>
    <row r="24" spans="2:12" x14ac:dyDescent="0.2">
      <c r="B24" s="22">
        <v>8704</v>
      </c>
      <c r="C24" t="s">
        <v>473</v>
      </c>
      <c r="D24" s="23" t="s">
        <v>806</v>
      </c>
      <c r="E24" s="106"/>
      <c r="F24" s="105"/>
      <c r="G24" s="106"/>
      <c r="H24" s="105"/>
      <c r="I24" s="105"/>
      <c r="J24" s="105"/>
      <c r="K24" s="105"/>
      <c r="L24" s="105"/>
    </row>
    <row r="25" spans="2:12" x14ac:dyDescent="0.2">
      <c r="B25" s="22"/>
      <c r="C25" s="21" t="s">
        <v>807</v>
      </c>
      <c r="D25" s="23"/>
      <c r="E25" s="106"/>
      <c r="F25" s="105"/>
      <c r="G25" s="106"/>
      <c r="H25" s="105"/>
      <c r="I25" s="105"/>
      <c r="J25" s="105"/>
      <c r="K25" s="105"/>
      <c r="L25" s="105"/>
    </row>
    <row r="26" spans="2:12" x14ac:dyDescent="0.2">
      <c r="B26" s="22"/>
      <c r="C26" s="21" t="s">
        <v>440</v>
      </c>
      <c r="D26" s="23"/>
      <c r="E26" s="106"/>
      <c r="F26" s="103"/>
      <c r="G26" s="108"/>
      <c r="H26" s="103"/>
      <c r="I26" s="103"/>
      <c r="J26" s="103"/>
      <c r="K26" s="103"/>
      <c r="L26" s="103"/>
    </row>
    <row r="27" spans="2:12" x14ac:dyDescent="0.2">
      <c r="B27" s="22" t="s">
        <v>808</v>
      </c>
      <c r="C27" t="s">
        <v>810</v>
      </c>
      <c r="D27" s="23" t="s">
        <v>479</v>
      </c>
      <c r="E27" s="106"/>
      <c r="F27" s="105"/>
      <c r="G27" s="106"/>
      <c r="H27" s="105"/>
      <c r="I27" s="105"/>
      <c r="J27" s="105"/>
      <c r="K27" s="105"/>
      <c r="L27" s="105"/>
    </row>
    <row r="28" spans="2:12" x14ac:dyDescent="0.2">
      <c r="B28" s="24" t="s">
        <v>811</v>
      </c>
      <c r="C28" t="s">
        <v>812</v>
      </c>
      <c r="D28" s="23" t="s">
        <v>479</v>
      </c>
      <c r="E28" s="106"/>
      <c r="F28" s="105"/>
      <c r="G28" s="106"/>
      <c r="H28" s="105"/>
      <c r="I28" s="105"/>
      <c r="J28" s="105"/>
      <c r="K28" s="105"/>
      <c r="L28" s="105"/>
    </row>
    <row r="29" spans="2:12" x14ac:dyDescent="0.2">
      <c r="B29" s="24" t="s">
        <v>813</v>
      </c>
      <c r="C29" t="s">
        <v>814</v>
      </c>
      <c r="D29" s="23" t="s">
        <v>479</v>
      </c>
      <c r="E29" s="106"/>
      <c r="F29" s="105"/>
      <c r="G29" s="106"/>
      <c r="H29" s="105"/>
      <c r="I29" s="105"/>
      <c r="J29" s="105"/>
      <c r="K29" s="105"/>
      <c r="L29" s="105"/>
    </row>
    <row r="30" spans="2:12" x14ac:dyDescent="0.2">
      <c r="B30" s="22">
        <v>10</v>
      </c>
      <c r="C30" t="s">
        <v>815</v>
      </c>
      <c r="D30" s="23" t="s">
        <v>804</v>
      </c>
      <c r="E30" s="106"/>
      <c r="F30" s="105"/>
      <c r="G30" s="106"/>
      <c r="H30" s="105"/>
      <c r="I30" s="105"/>
      <c r="J30" s="105"/>
      <c r="K30" s="107"/>
      <c r="L30" s="105"/>
    </row>
    <row r="31" spans="2:12" x14ac:dyDescent="0.2">
      <c r="B31" s="22">
        <v>1512</v>
      </c>
      <c r="C31" t="s">
        <v>816</v>
      </c>
      <c r="D31" s="23" t="s">
        <v>479</v>
      </c>
      <c r="E31" s="106"/>
      <c r="F31" s="105"/>
      <c r="G31" s="106"/>
      <c r="H31" s="105"/>
      <c r="I31" s="105"/>
      <c r="J31" s="105"/>
      <c r="K31" s="105"/>
      <c r="L31" s="105"/>
    </row>
    <row r="32" spans="2:12" x14ac:dyDescent="0.2">
      <c r="B32" s="22" t="s">
        <v>817</v>
      </c>
      <c r="C32" t="s">
        <v>818</v>
      </c>
      <c r="D32" s="23" t="s">
        <v>479</v>
      </c>
      <c r="E32" s="106"/>
      <c r="F32" s="105"/>
      <c r="G32" s="106"/>
      <c r="H32" s="105"/>
      <c r="I32" s="105"/>
      <c r="J32" s="105"/>
      <c r="K32" s="105"/>
      <c r="L32" s="105"/>
    </row>
    <row r="33" spans="2:12" x14ac:dyDescent="0.2">
      <c r="B33" s="22">
        <v>22</v>
      </c>
      <c r="C33" t="s">
        <v>823</v>
      </c>
      <c r="D33" s="23" t="s">
        <v>804</v>
      </c>
      <c r="E33" s="106"/>
      <c r="F33" s="105"/>
      <c r="G33" s="106"/>
      <c r="H33" s="105"/>
      <c r="I33" s="105"/>
      <c r="J33" s="105"/>
      <c r="K33" s="107"/>
      <c r="L33" s="105"/>
    </row>
    <row r="34" spans="2:12" x14ac:dyDescent="0.2">
      <c r="B34" s="22">
        <v>2701</v>
      </c>
      <c r="C34" t="s">
        <v>779</v>
      </c>
      <c r="D34" s="23" t="s">
        <v>479</v>
      </c>
      <c r="E34" s="106"/>
      <c r="F34" s="105"/>
      <c r="G34" s="106"/>
      <c r="H34" s="105"/>
      <c r="I34" s="105"/>
      <c r="J34" s="105"/>
      <c r="K34" s="107"/>
      <c r="L34" s="105"/>
    </row>
    <row r="35" spans="2:12" x14ac:dyDescent="0.2">
      <c r="B35" s="22" t="s">
        <v>824</v>
      </c>
      <c r="C35" t="s">
        <v>825</v>
      </c>
      <c r="D35" s="23" t="s">
        <v>479</v>
      </c>
      <c r="E35" s="106"/>
      <c r="F35" s="105"/>
      <c r="G35" s="106"/>
      <c r="H35" s="105"/>
      <c r="I35" s="105"/>
      <c r="J35" s="105"/>
      <c r="K35" s="105"/>
      <c r="L35" s="105"/>
    </row>
    <row r="36" spans="2:12" x14ac:dyDescent="0.2">
      <c r="B36" s="22">
        <v>5101</v>
      </c>
      <c r="C36" t="s">
        <v>826</v>
      </c>
      <c r="D36" s="23" t="s">
        <v>479</v>
      </c>
      <c r="E36" s="106"/>
      <c r="F36" s="105"/>
      <c r="G36" s="106"/>
      <c r="H36" s="105"/>
      <c r="I36" s="105"/>
      <c r="J36" s="105"/>
      <c r="K36" s="105"/>
      <c r="L36" s="105"/>
    </row>
    <row r="37" spans="2:12" x14ac:dyDescent="0.2">
      <c r="B37" s="22">
        <v>5201</v>
      </c>
      <c r="C37" t="s">
        <v>827</v>
      </c>
      <c r="D37" s="23" t="s">
        <v>479</v>
      </c>
      <c r="E37" s="106"/>
      <c r="F37" s="105"/>
      <c r="G37" s="106"/>
      <c r="H37" s="105"/>
      <c r="I37" s="105"/>
      <c r="J37" s="105"/>
      <c r="K37" s="105"/>
      <c r="L37" s="105"/>
    </row>
    <row r="38" spans="2:12" x14ac:dyDescent="0.2">
      <c r="B38" s="22">
        <v>5301</v>
      </c>
      <c r="C38" t="s">
        <v>828</v>
      </c>
      <c r="D38" s="23" t="s">
        <v>479</v>
      </c>
      <c r="E38" s="106"/>
      <c r="F38" s="105"/>
      <c r="G38" s="106"/>
      <c r="H38" s="105"/>
      <c r="I38" s="105"/>
      <c r="J38" s="105"/>
      <c r="K38" s="105"/>
      <c r="L38" s="105"/>
    </row>
    <row r="39" spans="2:12" x14ac:dyDescent="0.2">
      <c r="B39" s="22">
        <v>72</v>
      </c>
      <c r="C39" t="s">
        <v>795</v>
      </c>
      <c r="D39" s="23" t="s">
        <v>479</v>
      </c>
      <c r="E39" s="106"/>
      <c r="F39" s="105"/>
      <c r="G39" s="106"/>
      <c r="H39" s="105"/>
      <c r="I39" s="105"/>
      <c r="J39" s="105"/>
      <c r="K39" s="105"/>
      <c r="L39" s="105"/>
    </row>
    <row r="40" spans="2:12" x14ac:dyDescent="0.2">
      <c r="B40" s="22">
        <v>7202</v>
      </c>
      <c r="C40" t="s">
        <v>829</v>
      </c>
      <c r="D40" s="23" t="s">
        <v>479</v>
      </c>
      <c r="E40" s="106"/>
      <c r="F40" s="105"/>
      <c r="G40" s="106"/>
      <c r="H40" s="105"/>
      <c r="I40" s="105"/>
      <c r="J40" s="105"/>
      <c r="K40" s="105"/>
      <c r="L40" s="105"/>
    </row>
    <row r="41" spans="2:12" x14ac:dyDescent="0.2">
      <c r="B41" s="22" t="s">
        <v>830</v>
      </c>
      <c r="C41" t="s">
        <v>477</v>
      </c>
      <c r="D41" s="23" t="s">
        <v>479</v>
      </c>
      <c r="E41" s="106"/>
      <c r="F41" s="105"/>
      <c r="G41" s="106"/>
      <c r="H41" s="105"/>
      <c r="I41" s="105"/>
      <c r="J41" s="105"/>
      <c r="K41" s="105"/>
      <c r="L41" s="105"/>
    </row>
    <row r="42" spans="2:12" x14ac:dyDescent="0.2">
      <c r="B42" s="22">
        <v>7403</v>
      </c>
      <c r="C42" t="s">
        <v>796</v>
      </c>
      <c r="D42" s="38" t="s">
        <v>479</v>
      </c>
      <c r="E42" s="106"/>
      <c r="F42" s="105"/>
      <c r="G42" s="106"/>
      <c r="H42" s="105"/>
      <c r="I42" s="105"/>
      <c r="J42" s="105"/>
      <c r="K42" s="105"/>
      <c r="L42" s="105"/>
    </row>
    <row r="43" spans="2:12" x14ac:dyDescent="0.2">
      <c r="B43" s="22">
        <v>7801</v>
      </c>
      <c r="C43" t="s">
        <v>831</v>
      </c>
      <c r="D43" s="23" t="s">
        <v>479</v>
      </c>
      <c r="E43" s="106"/>
      <c r="F43" s="105"/>
      <c r="G43" s="106"/>
      <c r="H43" s="105"/>
      <c r="I43" s="105"/>
      <c r="J43" s="105"/>
      <c r="K43" s="105"/>
      <c r="L43" s="105"/>
    </row>
    <row r="44" spans="2:12" x14ac:dyDescent="0.2">
      <c r="B44" s="22" t="s">
        <v>802</v>
      </c>
      <c r="C44" t="s">
        <v>803</v>
      </c>
      <c r="D44" s="23" t="s">
        <v>804</v>
      </c>
      <c r="E44" s="106"/>
      <c r="F44" s="105"/>
      <c r="G44" s="106"/>
      <c r="H44" s="105"/>
      <c r="I44" s="105"/>
      <c r="J44" s="105"/>
      <c r="K44" s="107"/>
      <c r="L44" s="105"/>
    </row>
    <row r="45" spans="2:12" x14ac:dyDescent="0.2">
      <c r="B45" s="22">
        <v>8703</v>
      </c>
      <c r="C45" t="s">
        <v>805</v>
      </c>
      <c r="D45" s="23" t="s">
        <v>806</v>
      </c>
      <c r="E45" s="106"/>
      <c r="F45" s="105"/>
      <c r="G45" s="106"/>
      <c r="H45" s="105"/>
      <c r="I45" s="105"/>
      <c r="J45" s="105"/>
      <c r="K45" s="105"/>
      <c r="L45" s="105"/>
    </row>
    <row r="46" spans="2:12" x14ac:dyDescent="0.2">
      <c r="B46" s="22">
        <v>8704</v>
      </c>
      <c r="C46" t="s">
        <v>473</v>
      </c>
      <c r="D46" s="23" t="s">
        <v>806</v>
      </c>
      <c r="E46" s="106"/>
      <c r="F46" s="105"/>
      <c r="G46" s="106"/>
      <c r="H46" s="105"/>
      <c r="I46" s="105"/>
      <c r="J46" s="105"/>
      <c r="K46" s="105"/>
      <c r="L46" s="105"/>
    </row>
    <row r="47" spans="2:12" x14ac:dyDescent="0.2">
      <c r="D47" s="23"/>
      <c r="E47" s="109"/>
      <c r="F47" s="110"/>
      <c r="G47" s="109"/>
      <c r="H47" s="110"/>
      <c r="I47" s="110"/>
      <c r="J47" s="110"/>
      <c r="K47" s="110"/>
      <c r="L47" s="110"/>
    </row>
    <row r="48" spans="2:12" x14ac:dyDescent="0.2">
      <c r="B48" t="s">
        <v>329</v>
      </c>
      <c r="D48" s="23"/>
      <c r="H48" s="31"/>
      <c r="I48" s="31"/>
      <c r="J48" s="31"/>
      <c r="K48" s="31"/>
      <c r="L48" s="31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B1:L86"/>
  <sheetViews>
    <sheetView zoomScale="75" workbookViewId="0">
      <selection activeCell="D54" sqref="D54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771</v>
      </c>
      <c r="C1" s="9"/>
      <c r="D1" s="10" t="s">
        <v>579</v>
      </c>
      <c r="E1" s="35" t="s">
        <v>333</v>
      </c>
      <c r="G1" s="11"/>
      <c r="H1" s="11"/>
    </row>
    <row r="2" spans="2:12" x14ac:dyDescent="0.2">
      <c r="B2" s="11" t="s">
        <v>772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484</v>
      </c>
      <c r="C3" s="11"/>
      <c r="D3" s="12" t="s">
        <v>773</v>
      </c>
      <c r="F3" s="11"/>
      <c r="G3" s="11"/>
      <c r="H3" s="11"/>
    </row>
    <row r="4" spans="2:12" ht="13.5" thickBot="1" x14ac:dyDescent="0.25">
      <c r="B4" s="13" t="s">
        <v>328</v>
      </c>
      <c r="C4" s="14" t="s">
        <v>774</v>
      </c>
      <c r="D4" s="14" t="s">
        <v>775</v>
      </c>
      <c r="E4" s="15">
        <v>2003</v>
      </c>
      <c r="F4" s="16" t="s">
        <v>461</v>
      </c>
      <c r="G4" s="15">
        <v>2004</v>
      </c>
      <c r="H4" s="16" t="s">
        <v>461</v>
      </c>
      <c r="I4" s="17">
        <v>2005</v>
      </c>
      <c r="J4" s="18" t="s">
        <v>462</v>
      </c>
      <c r="K4" s="17">
        <v>2006</v>
      </c>
      <c r="L4" s="18" t="s">
        <v>463</v>
      </c>
    </row>
    <row r="5" spans="2:12" ht="39" thickBot="1" x14ac:dyDescent="0.25">
      <c r="B5" s="19"/>
      <c r="C5" s="20"/>
      <c r="D5" s="36" t="s">
        <v>776</v>
      </c>
      <c r="E5" s="30" t="s">
        <v>776</v>
      </c>
      <c r="F5" s="30" t="s">
        <v>777</v>
      </c>
      <c r="G5" s="30" t="s">
        <v>776</v>
      </c>
      <c r="H5" s="30" t="s">
        <v>777</v>
      </c>
      <c r="I5" s="30" t="s">
        <v>776</v>
      </c>
      <c r="J5" s="30" t="s">
        <v>777</v>
      </c>
      <c r="K5" s="30" t="s">
        <v>776</v>
      </c>
      <c r="L5" s="37" t="s">
        <v>777</v>
      </c>
    </row>
    <row r="6" spans="2:12" x14ac:dyDescent="0.2">
      <c r="C6" s="21" t="s">
        <v>778</v>
      </c>
      <c r="D6" s="25"/>
      <c r="E6" s="94"/>
      <c r="F6" s="94"/>
      <c r="G6" s="94"/>
      <c r="H6" s="94"/>
      <c r="I6" s="94"/>
      <c r="J6" s="94"/>
      <c r="K6" s="109"/>
      <c r="L6" s="109"/>
    </row>
    <row r="7" spans="2:12" x14ac:dyDescent="0.2">
      <c r="B7" s="22">
        <v>2701</v>
      </c>
      <c r="C7" t="s">
        <v>779</v>
      </c>
      <c r="D7" s="23" t="s">
        <v>479</v>
      </c>
      <c r="E7" s="94"/>
      <c r="F7" s="94"/>
      <c r="G7" s="94"/>
      <c r="H7" s="94"/>
      <c r="I7" s="94"/>
      <c r="J7" s="94"/>
      <c r="K7" s="109"/>
      <c r="L7" s="109"/>
    </row>
    <row r="8" spans="2:12" x14ac:dyDescent="0.2">
      <c r="B8" s="22">
        <v>2709</v>
      </c>
      <c r="C8" t="s">
        <v>780</v>
      </c>
      <c r="D8" s="23" t="s">
        <v>479</v>
      </c>
      <c r="E8" s="94"/>
      <c r="F8" s="94"/>
      <c r="G8" s="94"/>
      <c r="H8" s="94"/>
      <c r="I8" s="94"/>
      <c r="J8" s="94"/>
      <c r="K8" s="109"/>
      <c r="L8" s="109"/>
    </row>
    <row r="9" spans="2:12" x14ac:dyDescent="0.2">
      <c r="B9" s="22">
        <v>2710</v>
      </c>
      <c r="C9" t="s">
        <v>781</v>
      </c>
      <c r="D9" s="23" t="s">
        <v>479</v>
      </c>
      <c r="E9" s="94"/>
      <c r="F9" s="94"/>
      <c r="G9" s="94"/>
      <c r="H9" s="94"/>
      <c r="I9" s="94"/>
      <c r="J9" s="94"/>
      <c r="K9" s="109"/>
      <c r="L9" s="109"/>
    </row>
    <row r="10" spans="2:12" x14ac:dyDescent="0.2">
      <c r="B10" s="22">
        <v>271121000</v>
      </c>
      <c r="C10" t="s">
        <v>782</v>
      </c>
      <c r="D10" s="23" t="s">
        <v>785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2716</v>
      </c>
      <c r="C11" t="s">
        <v>686</v>
      </c>
      <c r="D11" s="23" t="s">
        <v>786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3102</v>
      </c>
      <c r="C12" t="s">
        <v>787</v>
      </c>
      <c r="D12" s="23" t="s">
        <v>479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3104</v>
      </c>
      <c r="C13" t="s">
        <v>788</v>
      </c>
      <c r="D13" s="23" t="s">
        <v>479</v>
      </c>
      <c r="E13" s="109"/>
      <c r="F13" s="109"/>
      <c r="G13" s="109"/>
      <c r="H13" s="109"/>
      <c r="I13" s="109"/>
      <c r="J13" s="109"/>
      <c r="K13" s="109"/>
      <c r="L13" s="109"/>
    </row>
    <row r="14" spans="2:12" x14ac:dyDescent="0.2">
      <c r="B14" s="22">
        <v>3105</v>
      </c>
      <c r="C14" t="s">
        <v>789</v>
      </c>
      <c r="D14" s="23" t="s">
        <v>479</v>
      </c>
      <c r="E14" s="109"/>
      <c r="F14" s="109"/>
      <c r="G14" s="109"/>
      <c r="H14" s="109"/>
      <c r="I14" s="109"/>
      <c r="J14" s="109"/>
      <c r="K14" s="109"/>
      <c r="L14" s="109"/>
    </row>
    <row r="15" spans="2:12" x14ac:dyDescent="0.2">
      <c r="B15" s="22">
        <v>4403</v>
      </c>
      <c r="C15" t="s">
        <v>790</v>
      </c>
      <c r="D15" s="23" t="s">
        <v>791</v>
      </c>
      <c r="E15" s="109"/>
      <c r="F15" s="109"/>
      <c r="G15" s="109"/>
      <c r="H15" s="109"/>
      <c r="I15" s="109"/>
      <c r="J15" s="109"/>
      <c r="K15" s="109"/>
      <c r="L15" s="109"/>
    </row>
    <row r="16" spans="2:12" x14ac:dyDescent="0.2">
      <c r="B16" s="22">
        <v>4407</v>
      </c>
      <c r="C16" t="s">
        <v>792</v>
      </c>
      <c r="D16" s="23" t="s">
        <v>479</v>
      </c>
      <c r="E16" s="109"/>
      <c r="F16" s="109"/>
      <c r="G16" s="109"/>
      <c r="H16" s="109"/>
      <c r="I16" s="109"/>
      <c r="J16" s="109"/>
      <c r="K16" s="109"/>
      <c r="L16" s="109"/>
    </row>
    <row r="17" spans="2:12" x14ac:dyDescent="0.2">
      <c r="B17" s="22" t="s">
        <v>793</v>
      </c>
      <c r="C17" t="s">
        <v>794</v>
      </c>
      <c r="D17" s="23" t="s">
        <v>479</v>
      </c>
      <c r="E17" s="109"/>
      <c r="F17" s="109"/>
      <c r="G17" s="109"/>
      <c r="H17" s="109"/>
      <c r="I17" s="109"/>
      <c r="J17" s="109"/>
      <c r="K17" s="109"/>
      <c r="L17" s="109"/>
    </row>
    <row r="18" spans="2:12" x14ac:dyDescent="0.2">
      <c r="B18" s="22">
        <v>72</v>
      </c>
      <c r="C18" t="s">
        <v>795</v>
      </c>
      <c r="D18" s="23" t="s">
        <v>479</v>
      </c>
      <c r="E18" s="109"/>
      <c r="F18" s="109"/>
      <c r="G18" s="109"/>
      <c r="H18" s="109"/>
      <c r="I18" s="109"/>
      <c r="J18" s="109"/>
      <c r="K18" s="109"/>
      <c r="L18" s="109"/>
    </row>
    <row r="19" spans="2:12" x14ac:dyDescent="0.2">
      <c r="B19" s="22">
        <v>7403</v>
      </c>
      <c r="C19" t="s">
        <v>796</v>
      </c>
      <c r="D19" s="23" t="s">
        <v>479</v>
      </c>
      <c r="E19" s="109"/>
      <c r="F19" s="109"/>
      <c r="G19" s="109"/>
      <c r="H19" s="109"/>
      <c r="I19" s="109"/>
      <c r="J19" s="109"/>
      <c r="K19" s="109"/>
      <c r="L19" s="109"/>
    </row>
    <row r="20" spans="2:12" x14ac:dyDescent="0.2">
      <c r="B20" s="22">
        <v>7502</v>
      </c>
      <c r="C20" t="s">
        <v>800</v>
      </c>
      <c r="D20" s="23" t="s">
        <v>479</v>
      </c>
      <c r="E20" s="109"/>
      <c r="F20" s="109"/>
      <c r="G20" s="109"/>
      <c r="H20" s="109"/>
      <c r="I20" s="109"/>
      <c r="J20" s="109"/>
      <c r="K20" s="109"/>
      <c r="L20" s="109"/>
    </row>
    <row r="21" spans="2:12" x14ac:dyDescent="0.2">
      <c r="B21" s="22">
        <v>7601</v>
      </c>
      <c r="C21" t="s">
        <v>801</v>
      </c>
      <c r="D21" s="23" t="s">
        <v>479</v>
      </c>
      <c r="E21" s="109"/>
      <c r="F21" s="109"/>
      <c r="G21" s="109"/>
      <c r="H21" s="109"/>
      <c r="I21" s="109"/>
      <c r="J21" s="109"/>
      <c r="K21" s="109"/>
      <c r="L21" s="109"/>
    </row>
    <row r="22" spans="2:12" x14ac:dyDescent="0.2">
      <c r="B22" s="22" t="s">
        <v>802</v>
      </c>
      <c r="C22" t="s">
        <v>803</v>
      </c>
      <c r="D22" s="23" t="s">
        <v>804</v>
      </c>
      <c r="E22" s="109"/>
      <c r="F22" s="109"/>
      <c r="G22" s="109"/>
      <c r="H22" s="109"/>
      <c r="I22" s="109"/>
      <c r="J22" s="109"/>
      <c r="K22" s="111"/>
      <c r="L22" s="109"/>
    </row>
    <row r="23" spans="2:12" x14ac:dyDescent="0.2">
      <c r="B23" s="22">
        <v>8703</v>
      </c>
      <c r="C23" t="s">
        <v>805</v>
      </c>
      <c r="D23" s="23" t="s">
        <v>806</v>
      </c>
      <c r="E23" s="109"/>
      <c r="F23" s="109"/>
      <c r="G23" s="109"/>
      <c r="H23" s="109"/>
      <c r="I23" s="109"/>
      <c r="J23" s="109"/>
      <c r="K23" s="109"/>
      <c r="L23" s="109"/>
    </row>
    <row r="24" spans="2:12" x14ac:dyDescent="0.2">
      <c r="B24" s="22">
        <v>8704</v>
      </c>
      <c r="C24" t="s">
        <v>473</v>
      </c>
      <c r="D24" s="23" t="s">
        <v>806</v>
      </c>
      <c r="E24" s="109"/>
      <c r="F24" s="109"/>
      <c r="G24" s="109"/>
      <c r="H24" s="109"/>
      <c r="I24" s="109"/>
      <c r="J24" s="109"/>
      <c r="K24" s="109"/>
      <c r="L24" s="109"/>
    </row>
    <row r="25" spans="2:12" x14ac:dyDescent="0.2">
      <c r="B25" s="22"/>
      <c r="C25" s="21" t="s">
        <v>807</v>
      </c>
      <c r="D25" s="23"/>
      <c r="E25" s="109"/>
      <c r="F25" s="109"/>
      <c r="G25" s="109"/>
      <c r="H25" s="109"/>
      <c r="I25" s="109"/>
      <c r="J25" s="109"/>
      <c r="K25" s="109"/>
      <c r="L25" s="109"/>
    </row>
    <row r="26" spans="2:12" x14ac:dyDescent="0.2">
      <c r="B26" s="22" t="s">
        <v>808</v>
      </c>
      <c r="C26" t="s">
        <v>810</v>
      </c>
      <c r="D26" s="23" t="s">
        <v>479</v>
      </c>
      <c r="E26" s="109"/>
      <c r="F26" s="109"/>
      <c r="G26" s="109"/>
      <c r="H26" s="109"/>
      <c r="I26" s="109"/>
      <c r="J26" s="109"/>
      <c r="K26" s="109"/>
      <c r="L26" s="109"/>
    </row>
    <row r="27" spans="2:12" x14ac:dyDescent="0.2">
      <c r="B27" s="24" t="s">
        <v>811</v>
      </c>
      <c r="C27" t="s">
        <v>812</v>
      </c>
      <c r="D27" s="23" t="s">
        <v>479</v>
      </c>
      <c r="E27" s="109"/>
      <c r="F27" s="109"/>
      <c r="G27" s="109"/>
      <c r="H27" s="109"/>
      <c r="I27" s="109"/>
      <c r="J27" s="109"/>
      <c r="K27" s="109"/>
      <c r="L27" s="109"/>
    </row>
    <row r="28" spans="2:12" x14ac:dyDescent="0.2">
      <c r="B28" s="24" t="s">
        <v>813</v>
      </c>
      <c r="C28" t="s">
        <v>814</v>
      </c>
      <c r="D28" s="23" t="s">
        <v>479</v>
      </c>
      <c r="E28" s="109"/>
      <c r="F28" s="109"/>
      <c r="G28" s="109"/>
      <c r="H28" s="109"/>
      <c r="I28" s="109"/>
      <c r="J28" s="109"/>
      <c r="K28" s="109"/>
      <c r="L28" s="109"/>
    </row>
    <row r="29" spans="2:12" x14ac:dyDescent="0.2">
      <c r="B29" s="22">
        <v>10</v>
      </c>
      <c r="C29" t="s">
        <v>815</v>
      </c>
      <c r="D29" s="23" t="s">
        <v>804</v>
      </c>
      <c r="E29" s="109"/>
      <c r="F29" s="109"/>
      <c r="G29" s="109"/>
      <c r="H29" s="109"/>
      <c r="I29" s="109"/>
      <c r="J29" s="109"/>
      <c r="K29" s="111"/>
      <c r="L29" s="109"/>
    </row>
    <row r="30" spans="2:12" x14ac:dyDescent="0.2">
      <c r="B30" s="22">
        <v>1512</v>
      </c>
      <c r="C30" t="s">
        <v>816</v>
      </c>
      <c r="D30" s="23" t="s">
        <v>479</v>
      </c>
      <c r="E30" s="109"/>
      <c r="F30" s="109"/>
      <c r="G30" s="109"/>
      <c r="H30" s="109"/>
      <c r="I30" s="109"/>
      <c r="J30" s="109"/>
      <c r="K30" s="109"/>
      <c r="L30" s="109"/>
    </row>
    <row r="31" spans="2:12" x14ac:dyDescent="0.2">
      <c r="B31" s="22" t="s">
        <v>817</v>
      </c>
      <c r="C31" t="s">
        <v>818</v>
      </c>
      <c r="D31" s="23" t="s">
        <v>479</v>
      </c>
      <c r="E31" s="109"/>
      <c r="F31" s="109"/>
      <c r="G31" s="109"/>
      <c r="H31" s="109"/>
      <c r="I31" s="109"/>
      <c r="J31" s="109"/>
      <c r="K31" s="109"/>
      <c r="L31" s="109"/>
    </row>
    <row r="32" spans="2:12" x14ac:dyDescent="0.2">
      <c r="B32" s="22">
        <v>170199100</v>
      </c>
      <c r="C32" t="s">
        <v>822</v>
      </c>
      <c r="D32" s="23" t="s">
        <v>479</v>
      </c>
      <c r="E32" s="109"/>
      <c r="F32" s="109"/>
      <c r="G32" s="109"/>
      <c r="H32" s="109"/>
      <c r="I32" s="109"/>
      <c r="J32" s="109"/>
      <c r="K32" s="109"/>
      <c r="L32" s="109"/>
    </row>
    <row r="33" spans="2:12" x14ac:dyDescent="0.2">
      <c r="B33" s="22">
        <v>22</v>
      </c>
      <c r="C33" t="s">
        <v>823</v>
      </c>
      <c r="D33" s="23" t="s">
        <v>804</v>
      </c>
      <c r="E33" s="109"/>
      <c r="F33" s="109"/>
      <c r="G33" s="109"/>
      <c r="H33" s="109"/>
      <c r="I33" s="109"/>
      <c r="J33" s="109"/>
      <c r="K33" s="111"/>
      <c r="L33" s="109"/>
    </row>
    <row r="34" spans="2:12" x14ac:dyDescent="0.2">
      <c r="B34" s="22">
        <v>2701</v>
      </c>
      <c r="C34" t="s">
        <v>779</v>
      </c>
      <c r="D34" s="23" t="s">
        <v>479</v>
      </c>
      <c r="E34" s="109"/>
      <c r="F34" s="109"/>
      <c r="G34" s="109"/>
      <c r="H34" s="109"/>
      <c r="I34" s="109"/>
      <c r="J34" s="109"/>
      <c r="K34" s="109"/>
      <c r="L34" s="109"/>
    </row>
    <row r="35" spans="2:12" x14ac:dyDescent="0.2">
      <c r="B35" s="22" t="s">
        <v>824</v>
      </c>
      <c r="C35" t="s">
        <v>825</v>
      </c>
      <c r="D35" s="23" t="s">
        <v>479</v>
      </c>
      <c r="E35" s="109"/>
      <c r="F35" s="109"/>
      <c r="G35" s="109"/>
      <c r="H35" s="109"/>
      <c r="I35" s="109"/>
      <c r="J35" s="109"/>
      <c r="K35" s="109"/>
      <c r="L35" s="109"/>
    </row>
    <row r="36" spans="2:12" x14ac:dyDescent="0.2">
      <c r="B36" s="22">
        <v>5101</v>
      </c>
      <c r="C36" t="s">
        <v>826</v>
      </c>
      <c r="D36" s="23" t="s">
        <v>479</v>
      </c>
      <c r="E36" s="109"/>
      <c r="F36" s="109"/>
      <c r="G36" s="109"/>
      <c r="H36" s="109"/>
      <c r="I36" s="109"/>
      <c r="J36" s="109"/>
      <c r="K36" s="109"/>
      <c r="L36" s="109"/>
    </row>
    <row r="37" spans="2:12" x14ac:dyDescent="0.2">
      <c r="B37" s="22">
        <v>5201</v>
      </c>
      <c r="C37" t="s">
        <v>827</v>
      </c>
      <c r="D37" s="23" t="s">
        <v>479</v>
      </c>
      <c r="E37" s="109"/>
      <c r="F37" s="109"/>
      <c r="G37" s="109"/>
      <c r="H37" s="109"/>
      <c r="I37" s="109"/>
      <c r="J37" s="109"/>
      <c r="K37" s="109"/>
      <c r="L37" s="109"/>
    </row>
    <row r="38" spans="2:12" x14ac:dyDescent="0.2">
      <c r="B38" s="22">
        <v>5301</v>
      </c>
      <c r="C38" t="s">
        <v>828</v>
      </c>
      <c r="D38" s="23" t="s">
        <v>479</v>
      </c>
      <c r="E38" s="109"/>
      <c r="F38" s="109"/>
      <c r="G38" s="109"/>
      <c r="H38" s="109"/>
      <c r="I38" s="109"/>
      <c r="J38" s="109"/>
      <c r="K38" s="109"/>
      <c r="L38" s="109"/>
    </row>
    <row r="39" spans="2:12" x14ac:dyDescent="0.2">
      <c r="B39" s="22">
        <v>72</v>
      </c>
      <c r="C39" t="s">
        <v>795</v>
      </c>
      <c r="D39" s="23" t="s">
        <v>479</v>
      </c>
      <c r="E39" s="109"/>
      <c r="F39" s="109"/>
      <c r="G39" s="109"/>
      <c r="H39" s="109"/>
      <c r="I39" s="109"/>
      <c r="J39" s="109"/>
      <c r="K39" s="109"/>
      <c r="L39" s="109"/>
    </row>
    <row r="40" spans="2:12" x14ac:dyDescent="0.2">
      <c r="B40" s="22">
        <v>7202</v>
      </c>
      <c r="C40" t="s">
        <v>829</v>
      </c>
      <c r="D40" s="23" t="s">
        <v>479</v>
      </c>
      <c r="E40" s="109"/>
      <c r="F40" s="109"/>
      <c r="G40" s="109"/>
      <c r="H40" s="109"/>
      <c r="I40" s="109"/>
      <c r="J40" s="109"/>
      <c r="K40" s="109"/>
      <c r="L40" s="109"/>
    </row>
    <row r="41" spans="2:12" x14ac:dyDescent="0.2">
      <c r="B41" s="22" t="s">
        <v>830</v>
      </c>
      <c r="C41" t="s">
        <v>477</v>
      </c>
      <c r="D41" s="23" t="s">
        <v>479</v>
      </c>
      <c r="E41" s="109"/>
      <c r="F41" s="109"/>
      <c r="G41" s="109"/>
      <c r="H41" s="109"/>
      <c r="I41" s="109"/>
      <c r="J41" s="109"/>
      <c r="K41" s="109"/>
      <c r="L41" s="109"/>
    </row>
    <row r="42" spans="2:12" x14ac:dyDescent="0.2">
      <c r="B42" s="22">
        <v>7403</v>
      </c>
      <c r="C42" t="s">
        <v>796</v>
      </c>
      <c r="D42" s="38" t="s">
        <v>479</v>
      </c>
      <c r="E42" s="109"/>
      <c r="F42" s="111"/>
      <c r="G42" s="109"/>
      <c r="H42" s="111"/>
      <c r="I42" s="109"/>
      <c r="J42" s="111"/>
      <c r="K42" s="109"/>
      <c r="L42" s="109"/>
    </row>
    <row r="43" spans="2:12" x14ac:dyDescent="0.2">
      <c r="B43" s="22">
        <v>7801</v>
      </c>
      <c r="C43" t="s">
        <v>831</v>
      </c>
      <c r="D43" s="23" t="s">
        <v>479</v>
      </c>
      <c r="E43" s="109"/>
      <c r="F43" s="109"/>
      <c r="G43" s="109"/>
      <c r="H43" s="109"/>
      <c r="I43" s="109"/>
      <c r="J43" s="109"/>
      <c r="K43" s="109"/>
      <c r="L43" s="109"/>
    </row>
    <row r="44" spans="2:12" x14ac:dyDescent="0.2">
      <c r="B44" s="22" t="s">
        <v>802</v>
      </c>
      <c r="C44" t="s">
        <v>803</v>
      </c>
      <c r="D44" s="23" t="s">
        <v>804</v>
      </c>
      <c r="E44" s="109"/>
      <c r="F44" s="109"/>
      <c r="G44" s="109"/>
      <c r="H44" s="109"/>
      <c r="I44" s="109"/>
      <c r="J44" s="109"/>
      <c r="K44" s="111"/>
      <c r="L44" s="109"/>
    </row>
    <row r="45" spans="2:12" x14ac:dyDescent="0.2">
      <c r="B45" s="22">
        <v>8703</v>
      </c>
      <c r="C45" t="s">
        <v>805</v>
      </c>
      <c r="D45" s="23" t="s">
        <v>806</v>
      </c>
      <c r="E45" s="109"/>
      <c r="F45" s="109"/>
      <c r="G45" s="109"/>
      <c r="H45" s="109"/>
      <c r="I45" s="109"/>
      <c r="J45" s="109"/>
      <c r="K45" s="109"/>
      <c r="L45" s="109"/>
    </row>
    <row r="46" spans="2:12" x14ac:dyDescent="0.2">
      <c r="B46" s="22">
        <v>8704</v>
      </c>
      <c r="C46" t="s">
        <v>473</v>
      </c>
      <c r="D46" s="23" t="s">
        <v>806</v>
      </c>
      <c r="E46" s="109"/>
      <c r="F46" s="109"/>
      <c r="G46" s="109"/>
      <c r="H46" s="109"/>
      <c r="I46" s="109"/>
      <c r="J46" s="109"/>
      <c r="K46" s="109"/>
      <c r="L46" s="109"/>
    </row>
    <row r="47" spans="2:12" x14ac:dyDescent="0.2">
      <c r="D47" s="23"/>
    </row>
    <row r="48" spans="2:12" x14ac:dyDescent="0.2">
      <c r="B48" t="s">
        <v>329</v>
      </c>
      <c r="D48" s="23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D13" sqref="D13"/>
    </sheetView>
  </sheetViews>
  <sheetFormatPr defaultRowHeight="12.75" x14ac:dyDescent="0.2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 x14ac:dyDescent="0.25">
      <c r="C1" s="9" t="s">
        <v>771</v>
      </c>
      <c r="D1" s="10" t="s">
        <v>331</v>
      </c>
      <c r="E1" s="11"/>
      <c r="G1" s="11"/>
      <c r="H1" s="11"/>
    </row>
    <row r="2" spans="2:12" x14ac:dyDescent="0.2">
      <c r="B2" s="11" t="s">
        <v>772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484</v>
      </c>
      <c r="C3" s="11"/>
      <c r="D3" s="12" t="s">
        <v>773</v>
      </c>
      <c r="F3" s="11"/>
      <c r="G3" s="11"/>
      <c r="H3" s="11"/>
    </row>
    <row r="4" spans="2:12" ht="13.5" thickBot="1" x14ac:dyDescent="0.25">
      <c r="B4" s="13" t="s">
        <v>328</v>
      </c>
      <c r="C4" s="14" t="s">
        <v>774</v>
      </c>
      <c r="D4" s="29" t="s">
        <v>888</v>
      </c>
      <c r="E4" s="15">
        <v>2003</v>
      </c>
      <c r="F4" s="16" t="s">
        <v>461</v>
      </c>
      <c r="G4" s="15">
        <v>2004</v>
      </c>
      <c r="H4" s="16" t="s">
        <v>461</v>
      </c>
      <c r="I4" s="17">
        <v>2005</v>
      </c>
      <c r="J4" s="18" t="s">
        <v>462</v>
      </c>
      <c r="K4" s="17">
        <v>2006</v>
      </c>
      <c r="L4" s="18" t="s">
        <v>463</v>
      </c>
    </row>
    <row r="5" spans="2:12" ht="39.200000000000003" customHeight="1" thickBot="1" x14ac:dyDescent="0.25">
      <c r="B5" s="19"/>
      <c r="C5" s="20"/>
      <c r="D5" s="30" t="s">
        <v>776</v>
      </c>
      <c r="E5" s="30" t="s">
        <v>776</v>
      </c>
      <c r="F5" s="30" t="s">
        <v>777</v>
      </c>
      <c r="G5" s="30" t="s">
        <v>776</v>
      </c>
      <c r="H5" s="30" t="s">
        <v>777</v>
      </c>
      <c r="I5" s="30" t="s">
        <v>776</v>
      </c>
      <c r="J5" s="30" t="s">
        <v>777</v>
      </c>
      <c r="K5" s="30" t="s">
        <v>776</v>
      </c>
      <c r="L5" s="37" t="s">
        <v>777</v>
      </c>
    </row>
    <row r="6" spans="2:12" x14ac:dyDescent="0.2">
      <c r="B6" s="25"/>
      <c r="C6" s="26" t="s">
        <v>778</v>
      </c>
      <c r="D6" s="25"/>
      <c r="E6" s="25"/>
      <c r="F6" s="25"/>
      <c r="G6" s="25"/>
      <c r="H6" s="25"/>
      <c r="I6" s="25"/>
      <c r="J6" s="25"/>
      <c r="K6" s="25"/>
    </row>
    <row r="7" spans="2:12" x14ac:dyDescent="0.2">
      <c r="B7" s="22">
        <v>1001</v>
      </c>
      <c r="C7" s="39" t="s">
        <v>832</v>
      </c>
      <c r="D7" s="23" t="s">
        <v>479</v>
      </c>
      <c r="E7" s="94"/>
      <c r="F7" s="94"/>
      <c r="G7" s="94"/>
      <c r="H7" s="94"/>
      <c r="I7" s="94"/>
      <c r="J7" s="94"/>
      <c r="K7" s="94"/>
      <c r="L7" s="109"/>
    </row>
    <row r="8" spans="2:12" x14ac:dyDescent="0.2">
      <c r="B8" s="24" t="s">
        <v>860</v>
      </c>
      <c r="C8" s="39" t="s">
        <v>861</v>
      </c>
      <c r="D8" s="23" t="s">
        <v>479</v>
      </c>
      <c r="E8" s="94"/>
      <c r="F8" s="94"/>
      <c r="G8" s="94"/>
      <c r="H8" s="94"/>
      <c r="I8" s="94"/>
      <c r="J8" s="94"/>
      <c r="K8" s="94"/>
      <c r="L8" s="109"/>
    </row>
    <row r="9" spans="2:12" x14ac:dyDescent="0.2">
      <c r="B9" s="22">
        <v>220860110</v>
      </c>
      <c r="C9" s="39" t="s">
        <v>839</v>
      </c>
      <c r="D9" s="23" t="s">
        <v>479</v>
      </c>
      <c r="E9" s="94"/>
      <c r="F9" s="94"/>
      <c r="G9" s="94"/>
      <c r="H9" s="94"/>
      <c r="I9" s="94"/>
      <c r="J9" s="94"/>
      <c r="K9" s="94"/>
      <c r="L9" s="109"/>
    </row>
    <row r="10" spans="2:12" x14ac:dyDescent="0.2">
      <c r="B10" s="22">
        <v>2510</v>
      </c>
      <c r="C10" s="39" t="s">
        <v>840</v>
      </c>
      <c r="D10" s="23" t="s">
        <v>479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2601</v>
      </c>
      <c r="C11" s="39" t="s">
        <v>841</v>
      </c>
      <c r="D11" s="23" t="s">
        <v>479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2701</v>
      </c>
      <c r="C12" s="39" t="s">
        <v>779</v>
      </c>
      <c r="D12" s="23" t="s">
        <v>479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2704</v>
      </c>
      <c r="C13" s="39" t="s">
        <v>842</v>
      </c>
      <c r="D13" s="23" t="s">
        <v>479</v>
      </c>
      <c r="E13" s="109"/>
      <c r="F13" s="109"/>
      <c r="G13" s="109"/>
      <c r="H13" s="106"/>
      <c r="I13" s="106"/>
      <c r="J13" s="106"/>
      <c r="K13" s="106"/>
      <c r="L13" s="106"/>
    </row>
    <row r="14" spans="2:12" x14ac:dyDescent="0.2">
      <c r="B14" s="22">
        <v>2709</v>
      </c>
      <c r="C14" s="39" t="s">
        <v>780</v>
      </c>
      <c r="D14" s="23" t="s">
        <v>479</v>
      </c>
      <c r="E14" s="106"/>
      <c r="F14" s="109"/>
      <c r="G14" s="106"/>
      <c r="H14" s="106"/>
      <c r="I14" s="106"/>
      <c r="J14" s="106"/>
      <c r="K14" s="106"/>
      <c r="L14" s="106"/>
    </row>
    <row r="15" spans="2:12" x14ac:dyDescent="0.2">
      <c r="B15" s="22">
        <v>2710</v>
      </c>
      <c r="C15" s="39" t="s">
        <v>781</v>
      </c>
      <c r="D15" s="23" t="s">
        <v>479</v>
      </c>
      <c r="E15" s="106"/>
      <c r="F15" s="109"/>
      <c r="G15" s="106"/>
      <c r="H15" s="106"/>
      <c r="I15" s="106"/>
      <c r="J15" s="106"/>
      <c r="K15" s="106"/>
      <c r="L15" s="106"/>
    </row>
    <row r="16" spans="2:12" x14ac:dyDescent="0.2">
      <c r="B16" s="27" t="s">
        <v>885</v>
      </c>
      <c r="C16" s="39" t="s">
        <v>476</v>
      </c>
      <c r="D16" s="23" t="s">
        <v>479</v>
      </c>
      <c r="E16" s="106"/>
      <c r="F16" s="109"/>
      <c r="G16" s="109"/>
      <c r="H16" s="109"/>
      <c r="I16" s="109"/>
      <c r="J16" s="109"/>
      <c r="K16" s="109"/>
      <c r="L16" s="109"/>
    </row>
    <row r="17" spans="2:12" x14ac:dyDescent="0.2">
      <c r="B17" s="28">
        <v>2710192100</v>
      </c>
      <c r="C17" s="39" t="s">
        <v>886</v>
      </c>
      <c r="D17" s="23" t="s">
        <v>479</v>
      </c>
      <c r="E17" s="106"/>
      <c r="F17" s="109"/>
      <c r="G17" s="109"/>
      <c r="H17" s="109"/>
      <c r="I17" s="109"/>
      <c r="J17" s="109"/>
      <c r="K17" s="109"/>
      <c r="L17" s="109"/>
    </row>
    <row r="18" spans="2:12" x14ac:dyDescent="0.2">
      <c r="B18" s="27" t="s">
        <v>887</v>
      </c>
      <c r="C18" s="39" t="s">
        <v>843</v>
      </c>
      <c r="D18" s="23" t="s">
        <v>479</v>
      </c>
      <c r="E18" s="106"/>
      <c r="F18" s="106"/>
      <c r="G18" s="109"/>
      <c r="H18" s="109"/>
      <c r="I18" s="109"/>
      <c r="J18" s="109"/>
      <c r="K18" s="109"/>
      <c r="L18" s="109"/>
    </row>
    <row r="19" spans="2:12" x14ac:dyDescent="0.2">
      <c r="B19" s="27" t="s">
        <v>330</v>
      </c>
      <c r="C19" s="39" t="s">
        <v>844</v>
      </c>
      <c r="D19" s="23" t="s">
        <v>479</v>
      </c>
      <c r="E19" s="106"/>
      <c r="F19" s="106"/>
      <c r="G19" s="109"/>
      <c r="H19" s="109"/>
      <c r="I19" s="109"/>
      <c r="J19" s="109"/>
      <c r="K19" s="109"/>
      <c r="L19" s="109"/>
    </row>
    <row r="20" spans="2:12" x14ac:dyDescent="0.2">
      <c r="B20" s="22">
        <v>271121000</v>
      </c>
      <c r="C20" s="39" t="s">
        <v>782</v>
      </c>
      <c r="D20" s="23" t="s">
        <v>785</v>
      </c>
      <c r="E20" s="106"/>
      <c r="F20" s="106"/>
      <c r="G20" s="109"/>
      <c r="H20" s="109"/>
      <c r="I20" s="109"/>
      <c r="J20" s="109"/>
      <c r="K20" s="109"/>
      <c r="L20" s="109"/>
    </row>
    <row r="21" spans="2:12" x14ac:dyDescent="0.2">
      <c r="B21" s="22">
        <v>2716</v>
      </c>
      <c r="C21" s="39" t="s">
        <v>686</v>
      </c>
      <c r="D21" s="23" t="s">
        <v>786</v>
      </c>
      <c r="E21" s="106"/>
      <c r="F21" s="106"/>
      <c r="G21" s="109"/>
      <c r="H21" s="109"/>
      <c r="I21" s="109"/>
      <c r="J21" s="109"/>
      <c r="K21" s="109"/>
      <c r="L21" s="109"/>
    </row>
    <row r="22" spans="2:12" x14ac:dyDescent="0.2">
      <c r="B22" s="22">
        <v>281410000</v>
      </c>
      <c r="C22" s="39" t="s">
        <v>845</v>
      </c>
      <c r="D22" s="23" t="s">
        <v>479</v>
      </c>
      <c r="E22" s="106"/>
      <c r="F22" s="106"/>
      <c r="G22" s="106"/>
      <c r="H22" s="109"/>
      <c r="I22" s="106"/>
      <c r="J22" s="106"/>
      <c r="K22" s="106"/>
      <c r="L22" s="106"/>
    </row>
    <row r="23" spans="2:12" x14ac:dyDescent="0.2">
      <c r="B23" s="22">
        <v>290511</v>
      </c>
      <c r="C23" s="39" t="s">
        <v>846</v>
      </c>
      <c r="D23" s="23" t="s">
        <v>479</v>
      </c>
      <c r="E23" s="106"/>
      <c r="F23" s="106"/>
      <c r="G23" s="109"/>
      <c r="H23" s="109"/>
      <c r="I23" s="106"/>
      <c r="J23" s="106"/>
      <c r="K23" s="106"/>
      <c r="L23" s="106"/>
    </row>
    <row r="24" spans="2:12" x14ac:dyDescent="0.2">
      <c r="B24" s="22">
        <v>3102</v>
      </c>
      <c r="C24" s="39" t="s">
        <v>787</v>
      </c>
      <c r="D24" s="23" t="s">
        <v>479</v>
      </c>
      <c r="E24" s="106"/>
      <c r="F24" s="106"/>
      <c r="G24" s="106"/>
      <c r="H24" s="106"/>
      <c r="I24" s="106"/>
      <c r="J24" s="106"/>
      <c r="K24" s="106"/>
      <c r="L24" s="106"/>
    </row>
    <row r="25" spans="2:12" x14ac:dyDescent="0.2">
      <c r="B25" s="22">
        <v>3104</v>
      </c>
      <c r="C25" s="39" t="s">
        <v>788</v>
      </c>
      <c r="D25" s="23" t="s">
        <v>479</v>
      </c>
      <c r="E25" s="106"/>
      <c r="F25" s="106"/>
      <c r="G25" s="106"/>
      <c r="H25" s="106"/>
      <c r="I25" s="106"/>
      <c r="J25" s="106"/>
      <c r="K25" s="106"/>
      <c r="L25" s="106"/>
    </row>
    <row r="26" spans="2:12" x14ac:dyDescent="0.2">
      <c r="B26" s="22">
        <v>3105</v>
      </c>
      <c r="C26" s="39" t="s">
        <v>789</v>
      </c>
      <c r="D26" s="23" t="s">
        <v>479</v>
      </c>
      <c r="E26" s="106"/>
      <c r="F26" s="106"/>
      <c r="G26" s="109"/>
      <c r="H26" s="109"/>
      <c r="I26" s="109"/>
      <c r="J26" s="109"/>
      <c r="K26" s="109"/>
      <c r="L26" s="109"/>
    </row>
    <row r="27" spans="2:12" x14ac:dyDescent="0.2">
      <c r="B27" s="22">
        <v>4002</v>
      </c>
      <c r="C27" s="39" t="s">
        <v>847</v>
      </c>
      <c r="D27" s="23" t="s">
        <v>479</v>
      </c>
      <c r="E27" s="106"/>
      <c r="F27" s="106"/>
      <c r="G27" s="109"/>
      <c r="H27" s="109"/>
      <c r="I27" s="109"/>
      <c r="J27" s="109"/>
      <c r="K27" s="109"/>
      <c r="L27" s="109"/>
    </row>
    <row r="28" spans="2:12" x14ac:dyDescent="0.2">
      <c r="B28" s="22">
        <v>4403</v>
      </c>
      <c r="C28" s="39" t="s">
        <v>790</v>
      </c>
      <c r="D28" s="23" t="s">
        <v>791</v>
      </c>
      <c r="E28" s="106"/>
      <c r="F28" s="106"/>
      <c r="G28" s="106"/>
      <c r="H28" s="106"/>
      <c r="I28" s="106"/>
      <c r="J28" s="106"/>
      <c r="K28" s="106"/>
      <c r="L28" s="106"/>
    </row>
    <row r="29" spans="2:12" x14ac:dyDescent="0.2">
      <c r="B29" s="22">
        <v>4407</v>
      </c>
      <c r="C29" s="39" t="s">
        <v>792</v>
      </c>
      <c r="D29" s="23" t="s">
        <v>479</v>
      </c>
      <c r="E29" s="106"/>
      <c r="F29" s="106"/>
      <c r="G29" s="106"/>
      <c r="H29" s="106"/>
      <c r="I29" s="106"/>
      <c r="J29" s="106"/>
      <c r="K29" s="106"/>
      <c r="L29" s="106"/>
    </row>
    <row r="30" spans="2:12" x14ac:dyDescent="0.2">
      <c r="B30" s="22">
        <v>4412</v>
      </c>
      <c r="C30" s="39" t="s">
        <v>848</v>
      </c>
      <c r="D30" s="23" t="s">
        <v>791</v>
      </c>
      <c r="E30" s="106"/>
      <c r="F30" s="106"/>
      <c r="G30" s="106"/>
      <c r="H30" s="106"/>
      <c r="I30" s="106"/>
      <c r="J30" s="106"/>
      <c r="K30" s="106"/>
      <c r="L30" s="106"/>
    </row>
    <row r="31" spans="2:12" x14ac:dyDescent="0.2">
      <c r="B31" s="22" t="s">
        <v>793</v>
      </c>
      <c r="C31" s="39" t="s">
        <v>794</v>
      </c>
      <c r="D31" s="23" t="s">
        <v>479</v>
      </c>
      <c r="E31" s="106"/>
      <c r="F31" s="106"/>
      <c r="G31" s="109"/>
      <c r="H31" s="109"/>
      <c r="I31" s="109"/>
      <c r="J31" s="109"/>
      <c r="K31" s="109"/>
      <c r="L31" s="109"/>
    </row>
    <row r="32" spans="2:12" x14ac:dyDescent="0.2">
      <c r="B32" s="22">
        <v>4801</v>
      </c>
      <c r="C32" s="39" t="s">
        <v>849</v>
      </c>
      <c r="D32" s="23" t="s">
        <v>479</v>
      </c>
      <c r="E32" s="106"/>
      <c r="F32" s="106"/>
      <c r="G32" s="106"/>
      <c r="H32" s="106"/>
      <c r="I32" s="106"/>
      <c r="J32" s="106"/>
      <c r="K32" s="106"/>
      <c r="L32" s="106"/>
    </row>
    <row r="33" spans="2:12" x14ac:dyDescent="0.2">
      <c r="B33" s="22" t="s">
        <v>850</v>
      </c>
      <c r="C33" s="39" t="s">
        <v>480</v>
      </c>
      <c r="D33" s="23" t="s">
        <v>851</v>
      </c>
      <c r="E33" s="106"/>
      <c r="F33" s="106"/>
      <c r="G33" s="109"/>
      <c r="H33" s="106"/>
      <c r="I33" s="106"/>
      <c r="J33" s="106"/>
      <c r="K33" s="106"/>
      <c r="L33" s="106"/>
    </row>
    <row r="34" spans="2:12" x14ac:dyDescent="0.2">
      <c r="B34" s="22">
        <v>72</v>
      </c>
      <c r="C34" s="39" t="s">
        <v>795</v>
      </c>
      <c r="D34" s="23" t="s">
        <v>479</v>
      </c>
      <c r="E34" s="106"/>
      <c r="F34" s="106"/>
      <c r="G34" s="106"/>
      <c r="H34" s="106"/>
      <c r="I34" s="106"/>
      <c r="J34" s="106"/>
      <c r="K34" s="106"/>
      <c r="L34" s="106"/>
    </row>
    <row r="35" spans="2:12" ht="25.5" x14ac:dyDescent="0.2">
      <c r="B35" s="40" t="s">
        <v>852</v>
      </c>
      <c r="C35" s="39" t="s">
        <v>853</v>
      </c>
      <c r="D35" s="23" t="s">
        <v>479</v>
      </c>
      <c r="E35" s="106"/>
      <c r="F35" s="106"/>
      <c r="G35" s="109"/>
      <c r="H35" s="109"/>
      <c r="I35" s="106"/>
      <c r="J35" s="106"/>
      <c r="K35" s="106"/>
      <c r="L35" s="106"/>
    </row>
    <row r="36" spans="2:12" x14ac:dyDescent="0.2">
      <c r="B36" s="22">
        <v>7202</v>
      </c>
      <c r="C36" s="39" t="s">
        <v>829</v>
      </c>
      <c r="D36" s="23" t="s">
        <v>479</v>
      </c>
      <c r="E36" s="106"/>
      <c r="F36" s="106"/>
      <c r="G36" s="106"/>
      <c r="H36" s="109"/>
      <c r="I36" s="106"/>
      <c r="J36" s="106"/>
      <c r="K36" s="106"/>
      <c r="L36" s="106"/>
    </row>
    <row r="37" spans="2:12" x14ac:dyDescent="0.2">
      <c r="B37" s="22">
        <v>7207</v>
      </c>
      <c r="C37" s="39" t="s">
        <v>855</v>
      </c>
      <c r="D37" s="23" t="s">
        <v>479</v>
      </c>
      <c r="E37" s="106"/>
      <c r="F37" s="106"/>
      <c r="G37" s="109"/>
      <c r="H37" s="109"/>
      <c r="I37" s="106"/>
      <c r="J37" s="106"/>
      <c r="K37" s="106"/>
      <c r="L37" s="106"/>
    </row>
    <row r="38" spans="2:12" x14ac:dyDescent="0.2">
      <c r="B38" s="22" t="s">
        <v>856</v>
      </c>
      <c r="C38" s="39" t="s">
        <v>857</v>
      </c>
      <c r="D38" s="23" t="s">
        <v>479</v>
      </c>
      <c r="E38" s="106"/>
      <c r="F38" s="106"/>
      <c r="G38" s="106"/>
      <c r="H38" s="106"/>
      <c r="I38" s="106"/>
      <c r="J38" s="106"/>
      <c r="K38" s="106"/>
      <c r="L38" s="106"/>
    </row>
    <row r="39" spans="2:12" x14ac:dyDescent="0.2">
      <c r="B39" s="22">
        <v>7403</v>
      </c>
      <c r="C39" s="39" t="s">
        <v>796</v>
      </c>
      <c r="D39" s="23" t="s">
        <v>479</v>
      </c>
      <c r="E39" s="106"/>
      <c r="F39" s="106"/>
      <c r="G39" s="106"/>
      <c r="H39" s="106"/>
      <c r="I39" s="106"/>
      <c r="J39" s="106"/>
      <c r="K39" s="106"/>
      <c r="L39" s="106"/>
    </row>
    <row r="40" spans="2:12" x14ac:dyDescent="0.2">
      <c r="B40" s="22">
        <v>7502</v>
      </c>
      <c r="C40" s="39" t="s">
        <v>800</v>
      </c>
      <c r="D40" s="23" t="s">
        <v>479</v>
      </c>
      <c r="E40" s="106"/>
      <c r="F40" s="106"/>
      <c r="G40" s="109"/>
      <c r="H40" s="109"/>
      <c r="I40" s="106"/>
      <c r="J40" s="106"/>
      <c r="K40" s="106"/>
      <c r="L40" s="106"/>
    </row>
    <row r="41" spans="2:12" x14ac:dyDescent="0.2">
      <c r="B41" s="22">
        <v>7601</v>
      </c>
      <c r="C41" s="39" t="s">
        <v>801</v>
      </c>
      <c r="D41" s="23" t="s">
        <v>479</v>
      </c>
      <c r="E41" s="106"/>
      <c r="F41" s="106"/>
      <c r="G41" s="109"/>
      <c r="H41" s="109"/>
      <c r="I41" s="106"/>
      <c r="J41" s="106"/>
      <c r="K41" s="106"/>
      <c r="L41" s="106"/>
    </row>
    <row r="42" spans="2:12" x14ac:dyDescent="0.2">
      <c r="B42" s="22" t="s">
        <v>802</v>
      </c>
      <c r="C42" s="39" t="s">
        <v>803</v>
      </c>
      <c r="D42" s="21" t="s">
        <v>804</v>
      </c>
      <c r="E42" s="112"/>
      <c r="F42" s="106"/>
      <c r="G42" s="111"/>
      <c r="H42" s="106"/>
      <c r="I42" s="112"/>
      <c r="J42" s="106"/>
      <c r="K42" s="106"/>
      <c r="L42" s="106"/>
    </row>
    <row r="43" spans="2:12" x14ac:dyDescent="0.2">
      <c r="B43" s="22">
        <v>8703</v>
      </c>
      <c r="C43" s="39" t="s">
        <v>805</v>
      </c>
      <c r="D43" s="23" t="s">
        <v>806</v>
      </c>
      <c r="E43" s="106"/>
      <c r="F43" s="106"/>
      <c r="G43" s="109"/>
      <c r="H43" s="109"/>
      <c r="I43" s="109"/>
      <c r="J43" s="109"/>
      <c r="K43" s="109"/>
      <c r="L43" s="109"/>
    </row>
    <row r="44" spans="2:12" x14ac:dyDescent="0.2">
      <c r="B44" s="22">
        <v>8704</v>
      </c>
      <c r="C44" s="39" t="s">
        <v>473</v>
      </c>
      <c r="D44" s="23" t="s">
        <v>806</v>
      </c>
      <c r="E44" s="106"/>
      <c r="F44" s="106"/>
      <c r="G44" s="109"/>
      <c r="H44" s="109"/>
      <c r="I44" s="109"/>
      <c r="J44" s="109"/>
      <c r="K44" s="109"/>
      <c r="L44" s="109"/>
    </row>
    <row r="45" spans="2:12" x14ac:dyDescent="0.2">
      <c r="B45" s="22"/>
      <c r="C45" s="41" t="s">
        <v>807</v>
      </c>
      <c r="D45" s="23"/>
      <c r="E45" s="106"/>
      <c r="F45" s="106"/>
      <c r="G45" s="109"/>
      <c r="H45" s="109"/>
      <c r="I45" s="109"/>
      <c r="J45" s="109"/>
      <c r="K45" s="109"/>
      <c r="L45" s="109"/>
    </row>
    <row r="46" spans="2:12" x14ac:dyDescent="0.2">
      <c r="B46" s="22" t="s">
        <v>808</v>
      </c>
      <c r="C46" s="39" t="s">
        <v>810</v>
      </c>
      <c r="D46" s="23" t="s">
        <v>479</v>
      </c>
      <c r="E46" s="106"/>
      <c r="F46" s="106"/>
      <c r="G46" s="109"/>
      <c r="H46" s="109"/>
      <c r="I46" s="109"/>
      <c r="J46" s="109"/>
      <c r="K46" s="109"/>
      <c r="L46" s="109"/>
    </row>
    <row r="47" spans="2:12" x14ac:dyDescent="0.2">
      <c r="B47" s="24" t="s">
        <v>858</v>
      </c>
      <c r="C47" s="39" t="s">
        <v>859</v>
      </c>
      <c r="D47" s="23" t="s">
        <v>479</v>
      </c>
      <c r="E47" s="106"/>
      <c r="F47" s="106"/>
      <c r="G47" s="109"/>
      <c r="H47" s="109"/>
      <c r="I47" s="109"/>
      <c r="J47" s="109"/>
      <c r="K47" s="109"/>
      <c r="L47" s="109"/>
    </row>
    <row r="48" spans="2:12" x14ac:dyDescent="0.2">
      <c r="B48" s="24" t="s">
        <v>860</v>
      </c>
      <c r="C48" s="39" t="s">
        <v>861</v>
      </c>
      <c r="D48" s="23" t="s">
        <v>479</v>
      </c>
      <c r="E48" s="106"/>
      <c r="F48" s="106"/>
      <c r="G48" s="109"/>
      <c r="H48" s="109"/>
      <c r="I48" s="109"/>
      <c r="J48" s="109"/>
      <c r="K48" s="109"/>
      <c r="L48" s="109"/>
    </row>
    <row r="49" spans="2:12" x14ac:dyDescent="0.2">
      <c r="B49" s="24" t="s">
        <v>811</v>
      </c>
      <c r="C49" s="39" t="s">
        <v>812</v>
      </c>
      <c r="D49" s="23" t="s">
        <v>479</v>
      </c>
      <c r="E49" s="106"/>
      <c r="F49" s="106"/>
      <c r="G49" s="109"/>
      <c r="H49" s="109"/>
      <c r="I49" s="109"/>
      <c r="J49" s="109"/>
      <c r="K49" s="109"/>
      <c r="L49" s="109"/>
    </row>
    <row r="50" spans="2:12" x14ac:dyDescent="0.2">
      <c r="B50" s="24" t="s">
        <v>813</v>
      </c>
      <c r="C50" s="39" t="s">
        <v>814</v>
      </c>
      <c r="D50" s="23" t="s">
        <v>479</v>
      </c>
      <c r="E50" s="106"/>
      <c r="F50" s="106"/>
      <c r="G50" s="109"/>
      <c r="H50" s="109"/>
      <c r="I50" s="109"/>
      <c r="J50" s="109"/>
      <c r="K50" s="109"/>
      <c r="L50" s="109"/>
    </row>
    <row r="51" spans="2:12" x14ac:dyDescent="0.2">
      <c r="B51" s="24" t="s">
        <v>862</v>
      </c>
      <c r="C51" s="39" t="s">
        <v>863</v>
      </c>
      <c r="D51" s="23" t="s">
        <v>479</v>
      </c>
      <c r="E51" s="106"/>
      <c r="F51" s="106"/>
      <c r="G51" s="109"/>
      <c r="H51" s="109"/>
      <c r="I51" s="109"/>
      <c r="J51" s="109"/>
      <c r="K51" s="109"/>
      <c r="L51" s="109"/>
    </row>
    <row r="52" spans="2:12" x14ac:dyDescent="0.2">
      <c r="B52" s="24" t="s">
        <v>864</v>
      </c>
      <c r="C52" s="39" t="s">
        <v>865</v>
      </c>
      <c r="D52" s="23" t="s">
        <v>479</v>
      </c>
      <c r="E52" s="106"/>
      <c r="F52" s="106"/>
      <c r="G52" s="109"/>
      <c r="H52" s="109"/>
      <c r="I52" s="109"/>
      <c r="J52" s="109"/>
      <c r="K52" s="109"/>
      <c r="L52" s="109"/>
    </row>
    <row r="53" spans="2:12" x14ac:dyDescent="0.2">
      <c r="B53" s="24" t="s">
        <v>866</v>
      </c>
      <c r="C53" s="39" t="s">
        <v>867</v>
      </c>
      <c r="D53" s="23" t="s">
        <v>479</v>
      </c>
      <c r="E53" s="106"/>
      <c r="F53" s="106"/>
      <c r="G53" s="109"/>
      <c r="H53" s="109"/>
      <c r="I53" s="109"/>
      <c r="J53" s="109"/>
      <c r="K53" s="109"/>
      <c r="L53" s="109"/>
    </row>
    <row r="54" spans="2:12" x14ac:dyDescent="0.2">
      <c r="B54" s="22">
        <v>10</v>
      </c>
      <c r="C54" s="39" t="s">
        <v>815</v>
      </c>
      <c r="D54" s="21" t="s">
        <v>804</v>
      </c>
      <c r="E54" s="112"/>
      <c r="F54" s="106"/>
      <c r="G54" s="111"/>
      <c r="H54" s="109"/>
      <c r="I54" s="111"/>
      <c r="J54" s="109"/>
      <c r="K54" s="109"/>
      <c r="L54" s="109"/>
    </row>
    <row r="55" spans="2:12" x14ac:dyDescent="0.2">
      <c r="B55" s="22">
        <v>1001</v>
      </c>
      <c r="C55" s="39" t="s">
        <v>832</v>
      </c>
      <c r="D55" s="23" t="s">
        <v>479</v>
      </c>
      <c r="E55" s="106"/>
      <c r="F55" s="106"/>
      <c r="G55" s="109"/>
      <c r="H55" s="109"/>
      <c r="I55" s="109"/>
      <c r="J55" s="109"/>
      <c r="K55" s="109"/>
      <c r="L55" s="109"/>
    </row>
    <row r="56" spans="2:12" x14ac:dyDescent="0.2">
      <c r="B56" s="22">
        <v>1003</v>
      </c>
      <c r="C56" s="39" t="s">
        <v>868</v>
      </c>
      <c r="D56" s="23" t="s">
        <v>479</v>
      </c>
      <c r="E56" s="106"/>
      <c r="F56" s="106"/>
      <c r="G56" s="109"/>
      <c r="H56" s="109"/>
      <c r="I56" s="109"/>
      <c r="J56" s="109"/>
      <c r="K56" s="109"/>
      <c r="L56" s="109"/>
    </row>
    <row r="57" spans="2:12" x14ac:dyDescent="0.2">
      <c r="B57" s="22">
        <v>1005</v>
      </c>
      <c r="C57" s="39" t="s">
        <v>869</v>
      </c>
      <c r="D57" s="23" t="s">
        <v>479</v>
      </c>
      <c r="E57" s="106"/>
      <c r="F57" s="106"/>
      <c r="G57" s="109"/>
      <c r="H57" s="109"/>
      <c r="I57" s="109"/>
      <c r="J57" s="109"/>
      <c r="K57" s="109"/>
      <c r="L57" s="109"/>
    </row>
    <row r="58" spans="2:12" x14ac:dyDescent="0.2">
      <c r="B58" s="22">
        <v>1512</v>
      </c>
      <c r="C58" s="39" t="s">
        <v>816</v>
      </c>
      <c r="D58" s="23" t="s">
        <v>479</v>
      </c>
      <c r="E58" s="106"/>
      <c r="F58" s="106"/>
      <c r="G58" s="109"/>
      <c r="H58" s="109"/>
      <c r="I58" s="109"/>
      <c r="J58" s="109"/>
      <c r="K58" s="109"/>
      <c r="L58" s="109"/>
    </row>
    <row r="59" spans="2:12" x14ac:dyDescent="0.2">
      <c r="B59" s="22">
        <v>1602</v>
      </c>
      <c r="C59" s="39" t="s">
        <v>870</v>
      </c>
      <c r="D59" s="23" t="s">
        <v>479</v>
      </c>
      <c r="E59" s="106"/>
      <c r="F59" s="106"/>
      <c r="G59" s="109"/>
      <c r="H59" s="109"/>
      <c r="I59" s="109"/>
      <c r="J59" s="109"/>
      <c r="K59" s="109"/>
      <c r="L59" s="109"/>
    </row>
    <row r="60" spans="2:12" x14ac:dyDescent="0.2">
      <c r="B60" s="22" t="s">
        <v>817</v>
      </c>
      <c r="C60" s="39" t="s">
        <v>818</v>
      </c>
      <c r="D60" s="23" t="s">
        <v>479</v>
      </c>
      <c r="E60" s="106"/>
      <c r="F60" s="106"/>
      <c r="G60" s="109"/>
      <c r="H60" s="109"/>
      <c r="I60" s="109"/>
      <c r="J60" s="109"/>
      <c r="K60" s="109"/>
      <c r="L60" s="109"/>
    </row>
    <row r="61" spans="2:12" x14ac:dyDescent="0.2">
      <c r="B61" s="22">
        <v>170199100</v>
      </c>
      <c r="C61" s="39" t="s">
        <v>822</v>
      </c>
      <c r="D61" s="23" t="s">
        <v>479</v>
      </c>
      <c r="E61" s="106"/>
      <c r="F61" s="106"/>
      <c r="G61" s="109"/>
      <c r="H61" s="109"/>
      <c r="I61" s="109"/>
      <c r="J61" s="109"/>
      <c r="K61" s="109"/>
      <c r="L61" s="109"/>
    </row>
    <row r="62" spans="2:12" x14ac:dyDescent="0.2">
      <c r="B62" s="22">
        <v>1801</v>
      </c>
      <c r="C62" s="39" t="s">
        <v>871</v>
      </c>
      <c r="D62" s="23" t="s">
        <v>479</v>
      </c>
      <c r="E62" s="106"/>
      <c r="F62" s="106"/>
      <c r="G62" s="109"/>
      <c r="H62" s="109"/>
      <c r="I62" s="106"/>
      <c r="J62" s="106"/>
      <c r="K62" s="106"/>
      <c r="L62" s="106"/>
    </row>
    <row r="63" spans="2:12" x14ac:dyDescent="0.2">
      <c r="B63" s="22">
        <v>1806</v>
      </c>
      <c r="C63" s="39" t="s">
        <v>872</v>
      </c>
      <c r="D63" s="21" t="s">
        <v>804</v>
      </c>
      <c r="E63" s="112"/>
      <c r="F63" s="106"/>
      <c r="G63" s="111"/>
      <c r="H63" s="109"/>
      <c r="I63" s="112"/>
      <c r="J63" s="106"/>
      <c r="K63" s="106"/>
      <c r="L63" s="106"/>
    </row>
    <row r="64" spans="2:12" x14ac:dyDescent="0.2">
      <c r="B64" s="22">
        <v>22</v>
      </c>
      <c r="C64" s="39" t="s">
        <v>823</v>
      </c>
      <c r="D64" s="21" t="s">
        <v>804</v>
      </c>
      <c r="E64" s="112"/>
      <c r="F64" s="106"/>
      <c r="G64" s="111"/>
      <c r="H64" s="109"/>
      <c r="I64" s="112"/>
      <c r="J64" s="106"/>
      <c r="K64" s="106"/>
      <c r="L64" s="106"/>
    </row>
    <row r="65" spans="2:12" x14ac:dyDescent="0.2">
      <c r="B65" s="22">
        <v>2402</v>
      </c>
      <c r="C65" s="39" t="s">
        <v>873</v>
      </c>
      <c r="D65" s="21" t="s">
        <v>804</v>
      </c>
      <c r="E65" s="112"/>
      <c r="F65" s="106"/>
      <c r="G65" s="111"/>
      <c r="H65" s="109"/>
      <c r="I65" s="112"/>
      <c r="J65" s="106"/>
      <c r="K65" s="106"/>
      <c r="L65" s="106"/>
    </row>
    <row r="66" spans="2:12" x14ac:dyDescent="0.2">
      <c r="B66" s="22">
        <v>2606</v>
      </c>
      <c r="C66" s="39" t="s">
        <v>874</v>
      </c>
      <c r="D66" s="23" t="s">
        <v>479</v>
      </c>
      <c r="E66" s="106"/>
      <c r="F66" s="106"/>
      <c r="G66" s="109"/>
      <c r="H66" s="109"/>
      <c r="I66" s="106"/>
      <c r="J66" s="106"/>
      <c r="K66" s="106"/>
      <c r="L66" s="106"/>
    </row>
    <row r="67" spans="2:12" x14ac:dyDescent="0.2">
      <c r="B67" s="22">
        <v>2701</v>
      </c>
      <c r="C67" s="39" t="s">
        <v>779</v>
      </c>
      <c r="D67" s="23" t="s">
        <v>479</v>
      </c>
      <c r="E67" s="106"/>
      <c r="F67" s="106"/>
      <c r="G67" s="109"/>
      <c r="H67" s="109"/>
      <c r="I67" s="106"/>
      <c r="J67" s="106"/>
      <c r="K67" s="106"/>
      <c r="L67" s="106"/>
    </row>
    <row r="68" spans="2:12" x14ac:dyDescent="0.2">
      <c r="B68" s="22">
        <v>2709</v>
      </c>
      <c r="C68" s="39" t="s">
        <v>780</v>
      </c>
      <c r="D68" s="23" t="s">
        <v>479</v>
      </c>
      <c r="E68" s="106"/>
      <c r="F68" s="106"/>
      <c r="G68" s="109"/>
      <c r="H68" s="109"/>
      <c r="I68" s="106"/>
      <c r="J68" s="106"/>
      <c r="K68" s="106"/>
      <c r="L68" s="106"/>
    </row>
    <row r="69" spans="2:12" x14ac:dyDescent="0.2">
      <c r="B69" s="22">
        <v>2710</v>
      </c>
      <c r="C69" s="39" t="s">
        <v>781</v>
      </c>
      <c r="D69" s="23" t="s">
        <v>479</v>
      </c>
      <c r="E69" s="106"/>
      <c r="F69" s="106"/>
      <c r="G69" s="106"/>
      <c r="H69" s="109"/>
      <c r="I69" s="106"/>
      <c r="J69" s="106"/>
      <c r="K69" s="106"/>
      <c r="L69" s="106"/>
    </row>
    <row r="70" spans="2:12" x14ac:dyDescent="0.2">
      <c r="B70" s="22">
        <v>2941</v>
      </c>
      <c r="C70" s="39" t="s">
        <v>875</v>
      </c>
      <c r="D70" s="21" t="s">
        <v>804</v>
      </c>
      <c r="E70" s="112"/>
      <c r="F70" s="106"/>
      <c r="G70" s="112"/>
      <c r="H70" s="109"/>
      <c r="I70" s="112"/>
      <c r="J70" s="106"/>
      <c r="K70" s="106"/>
      <c r="L70" s="106"/>
    </row>
    <row r="71" spans="2:12" x14ac:dyDescent="0.2">
      <c r="B71" s="22" t="s">
        <v>876</v>
      </c>
      <c r="C71" s="39" t="s">
        <v>877</v>
      </c>
      <c r="D71" s="21" t="s">
        <v>804</v>
      </c>
      <c r="E71" s="112"/>
      <c r="F71" s="106"/>
      <c r="G71" s="112"/>
      <c r="H71" s="109"/>
      <c r="I71" s="112"/>
      <c r="J71" s="106"/>
      <c r="K71" s="106"/>
      <c r="L71" s="106"/>
    </row>
    <row r="72" spans="2:12" x14ac:dyDescent="0.2">
      <c r="B72" s="22">
        <v>3808</v>
      </c>
      <c r="C72" s="39" t="s">
        <v>878</v>
      </c>
      <c r="D72" s="23" t="s">
        <v>479</v>
      </c>
      <c r="E72" s="106"/>
      <c r="F72" s="106"/>
      <c r="G72" s="106"/>
      <c r="H72" s="109"/>
      <c r="I72" s="106"/>
      <c r="J72" s="106"/>
      <c r="K72" s="106"/>
      <c r="L72" s="106"/>
    </row>
    <row r="73" spans="2:12" x14ac:dyDescent="0.2">
      <c r="B73" s="22" t="s">
        <v>824</v>
      </c>
      <c r="C73" s="39" t="s">
        <v>825</v>
      </c>
      <c r="D73" s="23" t="s">
        <v>479</v>
      </c>
      <c r="E73" s="106"/>
      <c r="F73" s="106"/>
      <c r="G73" s="106"/>
      <c r="H73" s="109"/>
      <c r="I73" s="106"/>
      <c r="J73" s="106"/>
      <c r="K73" s="106"/>
      <c r="L73" s="106"/>
    </row>
    <row r="74" spans="2:12" x14ac:dyDescent="0.2">
      <c r="B74" s="22">
        <v>5201</v>
      </c>
      <c r="C74" s="39" t="s">
        <v>827</v>
      </c>
      <c r="D74" s="23" t="s">
        <v>479</v>
      </c>
      <c r="E74" s="106"/>
      <c r="F74" s="106"/>
      <c r="G74" s="106"/>
      <c r="H74" s="109"/>
      <c r="I74" s="106"/>
      <c r="J74" s="106"/>
      <c r="K74" s="106"/>
      <c r="L74" s="106"/>
    </row>
    <row r="75" spans="2:12" x14ac:dyDescent="0.2">
      <c r="B75" s="22" t="s">
        <v>850</v>
      </c>
      <c r="C75" s="39" t="s">
        <v>480</v>
      </c>
      <c r="D75" s="23" t="s">
        <v>479</v>
      </c>
      <c r="E75" s="106"/>
      <c r="F75" s="106"/>
      <c r="G75" s="106"/>
      <c r="H75" s="109"/>
      <c r="I75" s="106"/>
      <c r="J75" s="106"/>
      <c r="K75" s="106"/>
      <c r="L75" s="106"/>
    </row>
    <row r="76" spans="2:12" x14ac:dyDescent="0.2">
      <c r="B76" s="22" t="s">
        <v>879</v>
      </c>
      <c r="C76" s="39" t="s">
        <v>880</v>
      </c>
      <c r="D76" s="21" t="s">
        <v>804</v>
      </c>
      <c r="E76" s="112"/>
      <c r="F76" s="106"/>
      <c r="G76" s="112"/>
      <c r="H76" s="109"/>
      <c r="I76" s="112"/>
      <c r="J76" s="106"/>
      <c r="K76" s="106"/>
      <c r="L76" s="106"/>
    </row>
    <row r="77" spans="2:12" x14ac:dyDescent="0.2">
      <c r="B77" s="22">
        <v>6403</v>
      </c>
      <c r="C77" s="39" t="s">
        <v>881</v>
      </c>
      <c r="D77" s="23" t="s">
        <v>882</v>
      </c>
      <c r="E77" s="106"/>
      <c r="F77" s="106"/>
      <c r="G77" s="106"/>
      <c r="H77" s="109"/>
      <c r="I77" s="106"/>
      <c r="J77" s="106"/>
      <c r="K77" s="106"/>
      <c r="L77" s="106"/>
    </row>
    <row r="78" spans="2:12" x14ac:dyDescent="0.2">
      <c r="B78" s="22">
        <v>72</v>
      </c>
      <c r="C78" s="39" t="s">
        <v>795</v>
      </c>
      <c r="D78" s="23" t="s">
        <v>479</v>
      </c>
      <c r="E78" s="106"/>
      <c r="F78" s="106"/>
      <c r="G78" s="106"/>
      <c r="H78" s="109"/>
      <c r="I78" s="106"/>
      <c r="J78" s="106"/>
      <c r="K78" s="106"/>
      <c r="L78" s="106"/>
    </row>
    <row r="79" spans="2:12" ht="25.5" x14ac:dyDescent="0.2">
      <c r="B79" s="22" t="s">
        <v>852</v>
      </c>
      <c r="C79" s="39" t="s">
        <v>853</v>
      </c>
      <c r="D79" s="23" t="s">
        <v>479</v>
      </c>
      <c r="E79" s="106"/>
      <c r="F79" s="106"/>
      <c r="G79" s="106"/>
      <c r="H79" s="109"/>
      <c r="I79" s="106"/>
      <c r="J79" s="106"/>
      <c r="K79" s="106"/>
      <c r="L79" s="106"/>
    </row>
    <row r="80" spans="2:12" x14ac:dyDescent="0.2">
      <c r="B80" s="22" t="s">
        <v>830</v>
      </c>
      <c r="C80" s="39" t="s">
        <v>477</v>
      </c>
      <c r="D80" s="23" t="s">
        <v>479</v>
      </c>
      <c r="E80" s="106"/>
      <c r="F80" s="106"/>
      <c r="G80" s="109"/>
      <c r="H80" s="106"/>
      <c r="I80" s="106"/>
      <c r="J80" s="106"/>
      <c r="K80" s="106"/>
      <c r="L80" s="106"/>
    </row>
    <row r="81" spans="2:12" x14ac:dyDescent="0.2">
      <c r="B81" s="22" t="s">
        <v>802</v>
      </c>
      <c r="C81" s="39" t="s">
        <v>803</v>
      </c>
      <c r="D81" s="21" t="s">
        <v>804</v>
      </c>
      <c r="E81" s="112"/>
      <c r="F81" s="106"/>
      <c r="G81" s="111"/>
      <c r="H81" s="106"/>
      <c r="I81" s="112"/>
      <c r="J81" s="106"/>
      <c r="K81" s="106"/>
      <c r="L81" s="106"/>
    </row>
    <row r="82" spans="2:12" x14ac:dyDescent="0.2">
      <c r="B82" s="22">
        <v>8703</v>
      </c>
      <c r="C82" s="39" t="s">
        <v>805</v>
      </c>
      <c r="D82" s="23" t="s">
        <v>806</v>
      </c>
      <c r="E82" s="106"/>
      <c r="F82" s="106"/>
      <c r="G82" s="106"/>
      <c r="H82" s="106"/>
      <c r="I82" s="106"/>
      <c r="J82" s="106"/>
      <c r="K82" s="106"/>
      <c r="L82" s="106"/>
    </row>
    <row r="83" spans="2:12" x14ac:dyDescent="0.2">
      <c r="B83" s="22">
        <v>8704</v>
      </c>
      <c r="C83" s="39" t="s">
        <v>473</v>
      </c>
      <c r="D83" s="23" t="s">
        <v>806</v>
      </c>
      <c r="E83" s="106"/>
      <c r="F83" s="106"/>
      <c r="G83" s="106"/>
      <c r="H83" s="106"/>
      <c r="I83" s="106"/>
      <c r="J83" s="106"/>
      <c r="K83" s="106"/>
      <c r="L83" s="106"/>
    </row>
    <row r="84" spans="2:12" x14ac:dyDescent="0.2">
      <c r="B84" s="22" t="s">
        <v>883</v>
      </c>
      <c r="C84" s="39" t="s">
        <v>884</v>
      </c>
      <c r="D84" s="21" t="s">
        <v>804</v>
      </c>
      <c r="E84" s="109"/>
      <c r="F84" s="106"/>
      <c r="G84" s="109"/>
      <c r="H84" s="106"/>
      <c r="I84" s="106"/>
      <c r="J84" s="106"/>
      <c r="K84" s="106"/>
      <c r="L84" s="106"/>
    </row>
    <row r="85" spans="2:12" x14ac:dyDescent="0.2">
      <c r="C85" s="39"/>
      <c r="D85" s="23"/>
    </row>
    <row r="86" spans="2:12" x14ac:dyDescent="0.2">
      <c r="B86" t="s">
        <v>329</v>
      </c>
      <c r="C86" s="39"/>
      <c r="D86" s="23"/>
    </row>
    <row r="87" spans="2:12" x14ac:dyDescent="0.2">
      <c r="C87" s="39"/>
    </row>
    <row r="88" spans="2:12" x14ac:dyDescent="0.2">
      <c r="C88" s="39"/>
    </row>
    <row r="89" spans="2:12" x14ac:dyDescent="0.2">
      <c r="C89" s="39"/>
    </row>
    <row r="90" spans="2:12" x14ac:dyDescent="0.2">
      <c r="C90" s="39"/>
    </row>
    <row r="91" spans="2:12" x14ac:dyDescent="0.2">
      <c r="C91" s="39"/>
    </row>
    <row r="92" spans="2:12" x14ac:dyDescent="0.2">
      <c r="C92" s="39"/>
    </row>
    <row r="93" spans="2:12" x14ac:dyDescent="0.2">
      <c r="C93" s="39"/>
    </row>
    <row r="94" spans="2:12" x14ac:dyDescent="0.2">
      <c r="C94" s="39"/>
    </row>
    <row r="95" spans="2:12" x14ac:dyDescent="0.2">
      <c r="C95" s="39"/>
    </row>
    <row r="96" spans="2:12" x14ac:dyDescent="0.2">
      <c r="C96" s="39"/>
    </row>
    <row r="97" spans="3:3" x14ac:dyDescent="0.2">
      <c r="C97" s="39"/>
    </row>
    <row r="98" spans="3:3" x14ac:dyDescent="0.2">
      <c r="C98" s="39"/>
    </row>
    <row r="99" spans="3:3" x14ac:dyDescent="0.2">
      <c r="C99" s="39"/>
    </row>
    <row r="100" spans="3:3" x14ac:dyDescent="0.2">
      <c r="C100" s="39"/>
    </row>
    <row r="101" spans="3:3" x14ac:dyDescent="0.2">
      <c r="C101" s="39"/>
    </row>
    <row r="102" spans="3:3" x14ac:dyDescent="0.2">
      <c r="C102" s="39"/>
    </row>
    <row r="103" spans="3:3" x14ac:dyDescent="0.2">
      <c r="C103" s="39"/>
    </row>
    <row r="104" spans="3:3" x14ac:dyDescent="0.2">
      <c r="C104" s="39"/>
    </row>
    <row r="105" spans="3:3" x14ac:dyDescent="0.2">
      <c r="C105" s="39"/>
    </row>
    <row r="106" spans="3:3" x14ac:dyDescent="0.2">
      <c r="C106" s="39"/>
    </row>
    <row r="107" spans="3:3" x14ac:dyDescent="0.2">
      <c r="C107" s="39"/>
    </row>
    <row r="108" spans="3:3" x14ac:dyDescent="0.2">
      <c r="C108" s="39"/>
    </row>
    <row r="109" spans="3:3" x14ac:dyDescent="0.2">
      <c r="C109" s="39"/>
    </row>
    <row r="110" spans="3:3" x14ac:dyDescent="0.2">
      <c r="C110" s="39"/>
    </row>
    <row r="111" spans="3:3" x14ac:dyDescent="0.2">
      <c r="C111" s="39"/>
    </row>
    <row r="112" spans="3:3" x14ac:dyDescent="0.2">
      <c r="C112" s="39"/>
    </row>
    <row r="113" spans="3:3" x14ac:dyDescent="0.2">
      <c r="C113" s="39"/>
    </row>
    <row r="114" spans="3:3" x14ac:dyDescent="0.2">
      <c r="C114" s="39"/>
    </row>
    <row r="115" spans="3:3" x14ac:dyDescent="0.2">
      <c r="C115" s="39"/>
    </row>
    <row r="116" spans="3:3" x14ac:dyDescent="0.2">
      <c r="C116" s="39"/>
    </row>
    <row r="117" spans="3:3" x14ac:dyDescent="0.2">
      <c r="C117" s="39"/>
    </row>
    <row r="118" spans="3:3" x14ac:dyDescent="0.2">
      <c r="C118" s="39"/>
    </row>
    <row r="119" spans="3:3" x14ac:dyDescent="0.2">
      <c r="C119" s="39"/>
    </row>
    <row r="120" spans="3:3" x14ac:dyDescent="0.2">
      <c r="C120" s="39"/>
    </row>
    <row r="121" spans="3:3" x14ac:dyDescent="0.2">
      <c r="C121" s="39"/>
    </row>
    <row r="122" spans="3:3" x14ac:dyDescent="0.2">
      <c r="C122" s="39"/>
    </row>
    <row r="123" spans="3:3" x14ac:dyDescent="0.2">
      <c r="C123" s="39"/>
    </row>
    <row r="124" spans="3:3" x14ac:dyDescent="0.2">
      <c r="C124" s="39"/>
    </row>
    <row r="125" spans="3:3" x14ac:dyDescent="0.2">
      <c r="C125" s="39"/>
    </row>
    <row r="126" spans="3:3" x14ac:dyDescent="0.2">
      <c r="C126" s="39"/>
    </row>
    <row r="127" spans="3:3" x14ac:dyDescent="0.2">
      <c r="C127" s="39"/>
    </row>
    <row r="128" spans="3:3" x14ac:dyDescent="0.2">
      <c r="C128" s="39"/>
    </row>
    <row r="129" spans="3:3" x14ac:dyDescent="0.2">
      <c r="C129" s="39"/>
    </row>
    <row r="130" spans="3:3" x14ac:dyDescent="0.2">
      <c r="C130" s="39"/>
    </row>
    <row r="131" spans="3:3" x14ac:dyDescent="0.2">
      <c r="C131" s="39"/>
    </row>
    <row r="132" spans="3:3" x14ac:dyDescent="0.2">
      <c r="C132" s="39"/>
    </row>
    <row r="133" spans="3:3" x14ac:dyDescent="0.2">
      <c r="C133" s="39"/>
    </row>
    <row r="134" spans="3:3" x14ac:dyDescent="0.2">
      <c r="C134" s="39"/>
    </row>
    <row r="135" spans="3:3" x14ac:dyDescent="0.2">
      <c r="C135" s="39"/>
    </row>
    <row r="136" spans="3:3" x14ac:dyDescent="0.2">
      <c r="C136" s="39"/>
    </row>
    <row r="137" spans="3:3" x14ac:dyDescent="0.2">
      <c r="C137" s="39"/>
    </row>
    <row r="138" spans="3:3" x14ac:dyDescent="0.2">
      <c r="C138" s="39"/>
    </row>
    <row r="139" spans="3:3" x14ac:dyDescent="0.2">
      <c r="C139" s="39"/>
    </row>
    <row r="140" spans="3:3" x14ac:dyDescent="0.2">
      <c r="C140" s="39"/>
    </row>
    <row r="141" spans="3:3" x14ac:dyDescent="0.2">
      <c r="C141" s="39"/>
    </row>
    <row r="142" spans="3:3" x14ac:dyDescent="0.2">
      <c r="C142" s="39"/>
    </row>
    <row r="143" spans="3:3" x14ac:dyDescent="0.2">
      <c r="C143" s="39"/>
    </row>
    <row r="144" spans="3:3" x14ac:dyDescent="0.2">
      <c r="C144" s="39"/>
    </row>
    <row r="145" spans="3:3" x14ac:dyDescent="0.2">
      <c r="C145" s="39"/>
    </row>
    <row r="146" spans="3:3" x14ac:dyDescent="0.2">
      <c r="C146" s="39"/>
    </row>
    <row r="147" spans="3:3" x14ac:dyDescent="0.2">
      <c r="C147" s="39"/>
    </row>
    <row r="148" spans="3:3" x14ac:dyDescent="0.2">
      <c r="C148" s="39"/>
    </row>
    <row r="149" spans="3:3" x14ac:dyDescent="0.2">
      <c r="C149" s="39"/>
    </row>
    <row r="150" spans="3:3" x14ac:dyDescent="0.2">
      <c r="C150" s="39"/>
    </row>
    <row r="151" spans="3:3" x14ac:dyDescent="0.2">
      <c r="C151" s="39"/>
    </row>
    <row r="152" spans="3:3" x14ac:dyDescent="0.2">
      <c r="C152" s="39"/>
    </row>
    <row r="153" spans="3:3" x14ac:dyDescent="0.2">
      <c r="C153" s="39"/>
    </row>
    <row r="154" spans="3:3" x14ac:dyDescent="0.2">
      <c r="C154" s="39"/>
    </row>
    <row r="155" spans="3:3" x14ac:dyDescent="0.2">
      <c r="C155" s="39"/>
    </row>
  </sheetData>
  <sheetProtection password="E16C" sheet="1" objects="1" scenarios="1"/>
  <customSheetViews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zoomScale="66" workbookViewId="0">
      <selection activeCell="C46" sqref="C46"/>
    </sheetView>
  </sheetViews>
  <sheetFormatPr defaultRowHeight="12.75" x14ac:dyDescent="0.2"/>
  <sheetData/>
  <customSheetViews>
    <customSheetView guid="{77D4B8AA-2D12-454E-8920-2F102814BFC0}" scale="66" showRuler="0">
      <selection activeCell="F11" sqref="F11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U727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L12" sqref="L12"/>
    </sheetView>
  </sheetViews>
  <sheetFormatPr defaultColWidth="8.85546875" defaultRowHeight="12" x14ac:dyDescent="0.2"/>
  <cols>
    <col min="1" max="1" width="40.5703125" style="2" customWidth="1"/>
    <col min="2" max="2" width="24.42578125" style="2" customWidth="1"/>
    <col min="3" max="3" width="9.42578125" style="4" customWidth="1"/>
    <col min="4" max="4" width="5.140625" style="5" customWidth="1"/>
    <col min="5" max="5" width="6.28515625" style="6" customWidth="1"/>
    <col min="6" max="6" width="8.42578125" style="4" customWidth="1"/>
    <col min="7" max="7" width="4.7109375" style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 x14ac:dyDescent="0.2">
      <c r="A1" s="126" t="s">
        <v>450</v>
      </c>
      <c r="B1" s="127"/>
      <c r="C1" s="127"/>
      <c r="D1" s="127"/>
      <c r="E1" s="127"/>
      <c r="F1" s="127"/>
      <c r="G1" s="127"/>
      <c r="H1" s="127"/>
      <c r="I1" s="127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56"/>
    </row>
    <row r="2" spans="1:21" ht="24" customHeight="1" x14ac:dyDescent="0.2">
      <c r="A2" s="129" t="s">
        <v>291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58"/>
    </row>
    <row r="3" spans="1:21" ht="18.75" customHeight="1" x14ac:dyDescent="0.2">
      <c r="A3" s="132"/>
      <c r="B3" s="133">
        <v>1</v>
      </c>
      <c r="C3" s="134">
        <v>2</v>
      </c>
      <c r="D3" s="135"/>
      <c r="E3" s="136"/>
      <c r="F3" s="137"/>
      <c r="G3" s="138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1" ht="12.2" customHeight="1" x14ac:dyDescent="0.2">
      <c r="A4" s="132"/>
      <c r="B4" s="132"/>
      <c r="C4" s="137"/>
      <c r="D4" s="135"/>
      <c r="E4" s="136"/>
      <c r="F4" s="137"/>
      <c r="G4" s="138"/>
      <c r="H4" s="132"/>
      <c r="I4" s="132"/>
      <c r="J4" s="132"/>
      <c r="K4" s="132"/>
      <c r="L4" s="139"/>
      <c r="M4" s="132"/>
      <c r="N4" s="132"/>
      <c r="O4" s="140"/>
      <c r="P4" s="140"/>
      <c r="Q4" s="140"/>
      <c r="R4" s="140"/>
      <c r="S4" s="140"/>
      <c r="T4" s="132"/>
    </row>
    <row r="5" spans="1:21" ht="15" customHeight="1" x14ac:dyDescent="0.2">
      <c r="A5" s="141" t="s">
        <v>451</v>
      </c>
      <c r="B5" s="142" t="s">
        <v>687</v>
      </c>
      <c r="C5" s="137"/>
      <c r="D5" s="135"/>
      <c r="E5" s="136"/>
      <c r="F5" s="137"/>
      <c r="G5" s="138"/>
      <c r="H5" s="132"/>
      <c r="I5" s="132"/>
      <c r="J5" s="132"/>
      <c r="K5" s="132"/>
      <c r="L5" s="139"/>
      <c r="M5" s="132"/>
      <c r="N5" s="132"/>
      <c r="O5" s="143"/>
      <c r="P5" s="143"/>
      <c r="Q5" s="143"/>
      <c r="R5" s="143"/>
      <c r="S5" s="143"/>
      <c r="T5" s="143"/>
    </row>
    <row r="6" spans="1:21" ht="26.1" customHeight="1" x14ac:dyDescent="0.2">
      <c r="A6" s="141" t="s">
        <v>453</v>
      </c>
      <c r="B6" s="132"/>
      <c r="C6" s="137"/>
      <c r="D6" s="135"/>
      <c r="E6" s="136"/>
      <c r="F6" s="137"/>
      <c r="G6" s="138"/>
      <c r="H6" s="132"/>
      <c r="I6" s="132"/>
      <c r="J6" s="132"/>
      <c r="K6" s="144"/>
      <c r="L6" s="139"/>
      <c r="M6" s="132"/>
      <c r="N6" s="145"/>
      <c r="O6" s="146"/>
      <c r="P6" s="147"/>
      <c r="Q6" s="147"/>
      <c r="R6" s="147"/>
      <c r="S6" s="147"/>
      <c r="T6" s="143"/>
    </row>
    <row r="7" spans="1:21" ht="15.75" customHeight="1" x14ac:dyDescent="0.2">
      <c r="K7" s="3"/>
      <c r="L7" s="42"/>
      <c r="O7" s="60"/>
      <c r="P7" s="61"/>
      <c r="Q7" s="62"/>
      <c r="R7" s="61"/>
      <c r="S7" s="61"/>
      <c r="T7" s="59"/>
    </row>
    <row r="8" spans="1:21" ht="30.2" customHeight="1" x14ac:dyDescent="0.2">
      <c r="K8" s="3"/>
      <c r="L8" s="42"/>
    </row>
    <row r="9" spans="1:21" ht="21.75" customHeight="1" x14ac:dyDescent="0.2">
      <c r="A9" s="596" t="s">
        <v>454</v>
      </c>
      <c r="B9" s="596" t="s">
        <v>455</v>
      </c>
      <c r="C9" s="113" t="s">
        <v>456</v>
      </c>
      <c r="D9" s="114" t="s">
        <v>457</v>
      </c>
      <c r="E9" s="115" t="s">
        <v>458</v>
      </c>
      <c r="F9" s="114" t="s">
        <v>459</v>
      </c>
      <c r="G9" s="116" t="s">
        <v>460</v>
      </c>
      <c r="H9" s="117" t="s">
        <v>461</v>
      </c>
      <c r="I9" s="117"/>
      <c r="J9" s="117"/>
      <c r="K9" s="117"/>
      <c r="L9" s="117" t="s">
        <v>461</v>
      </c>
      <c r="M9" s="117" t="s">
        <v>461</v>
      </c>
      <c r="N9" s="117" t="s">
        <v>462</v>
      </c>
      <c r="O9" s="117" t="s">
        <v>463</v>
      </c>
      <c r="P9" s="117"/>
      <c r="Q9" s="117"/>
      <c r="R9" s="117"/>
      <c r="S9" s="117"/>
      <c r="T9" s="117"/>
      <c r="U9" s="63"/>
    </row>
    <row r="10" spans="1:21" ht="10.9" customHeight="1" x14ac:dyDescent="0.2">
      <c r="A10" s="598"/>
      <c r="B10" s="598"/>
      <c r="C10" s="118"/>
      <c r="D10" s="119"/>
      <c r="E10" s="120"/>
      <c r="F10" s="118"/>
      <c r="G10" s="121"/>
      <c r="H10" s="118">
        <v>1998</v>
      </c>
      <c r="I10" s="118">
        <v>1999</v>
      </c>
      <c r="J10" s="118">
        <v>2000</v>
      </c>
      <c r="K10" s="118">
        <v>2001</v>
      </c>
      <c r="L10" s="596">
        <v>2007</v>
      </c>
      <c r="M10" s="596">
        <v>2008</v>
      </c>
      <c r="N10" s="596">
        <v>2009</v>
      </c>
      <c r="O10" s="122">
        <v>2010</v>
      </c>
      <c r="P10" s="118"/>
      <c r="Q10" s="122">
        <v>2011</v>
      </c>
      <c r="R10" s="118"/>
      <c r="S10" s="122">
        <v>2012</v>
      </c>
      <c r="T10" s="122"/>
      <c r="U10" s="63"/>
    </row>
    <row r="11" spans="1:21" ht="14.45" customHeight="1" x14ac:dyDescent="0.2">
      <c r="A11" s="597"/>
      <c r="B11" s="597"/>
      <c r="C11" s="118"/>
      <c r="D11" s="119"/>
      <c r="E11" s="120"/>
      <c r="F11" s="118"/>
      <c r="G11" s="121"/>
      <c r="H11" s="118"/>
      <c r="I11" s="118"/>
      <c r="J11" s="123"/>
      <c r="K11" s="123"/>
      <c r="L11" s="597"/>
      <c r="M11" s="597"/>
      <c r="N11" s="597"/>
      <c r="O11" s="124" t="s">
        <v>464</v>
      </c>
      <c r="P11" s="125" t="s">
        <v>465</v>
      </c>
      <c r="Q11" s="124" t="s">
        <v>464</v>
      </c>
      <c r="R11" s="125" t="s">
        <v>465</v>
      </c>
      <c r="S11" s="124" t="s">
        <v>464</v>
      </c>
      <c r="T11" s="125" t="s">
        <v>465</v>
      </c>
      <c r="U11" s="63"/>
    </row>
    <row r="12" spans="1:21" ht="30" x14ac:dyDescent="0.2">
      <c r="A12" s="163" t="s">
        <v>897</v>
      </c>
      <c r="B12" s="164"/>
      <c r="C12" s="165"/>
      <c r="D12" s="166"/>
      <c r="E12" s="166"/>
      <c r="F12" s="166"/>
      <c r="G12" s="167"/>
      <c r="H12" s="151"/>
      <c r="I12" s="151"/>
      <c r="J12" s="151"/>
      <c r="K12" s="151"/>
      <c r="L12" s="153"/>
      <c r="M12" s="154"/>
      <c r="N12" s="154"/>
      <c r="O12" s="154"/>
      <c r="P12" s="154"/>
      <c r="Q12" s="154"/>
      <c r="R12" s="154"/>
      <c r="S12" s="154"/>
      <c r="T12" s="155"/>
      <c r="U12" s="168"/>
    </row>
    <row r="13" spans="1:21" ht="21" x14ac:dyDescent="0.2">
      <c r="A13" s="169" t="s">
        <v>183</v>
      </c>
      <c r="B13" s="170" t="s">
        <v>837</v>
      </c>
      <c r="C13" s="171">
        <v>1</v>
      </c>
      <c r="D13" s="172"/>
      <c r="E13" s="172"/>
      <c r="F13" s="172"/>
      <c r="G13" s="173" t="s">
        <v>705</v>
      </c>
      <c r="H13" s="151"/>
      <c r="I13" s="151"/>
      <c r="J13" s="151"/>
      <c r="K13" s="151"/>
      <c r="L13" s="156"/>
      <c r="M13" s="157"/>
      <c r="N13" s="157"/>
      <c r="O13" s="157"/>
      <c r="P13" s="157"/>
      <c r="Q13" s="157"/>
      <c r="R13" s="157"/>
      <c r="S13" s="157"/>
      <c r="T13" s="158"/>
      <c r="U13" s="168"/>
    </row>
    <row r="14" spans="1:21" ht="12.75" x14ac:dyDescent="0.2">
      <c r="A14" s="174"/>
      <c r="B14" s="170" t="s">
        <v>898</v>
      </c>
      <c r="C14" s="171">
        <v>1</v>
      </c>
      <c r="D14" s="172"/>
      <c r="E14" s="172"/>
      <c r="F14" s="172"/>
      <c r="G14" s="173" t="s">
        <v>704</v>
      </c>
      <c r="H14" s="151"/>
      <c r="I14" s="151"/>
      <c r="J14" s="151"/>
      <c r="K14" s="151"/>
      <c r="L14" s="156"/>
      <c r="M14" s="157"/>
      <c r="N14" s="157"/>
      <c r="O14" s="157"/>
      <c r="P14" s="157"/>
      <c r="Q14" s="157"/>
      <c r="R14" s="157"/>
      <c r="S14" s="157"/>
      <c r="T14" s="158"/>
      <c r="U14" s="168"/>
    </row>
    <row r="15" spans="1:21" ht="21" x14ac:dyDescent="0.2">
      <c r="A15" s="175" t="s">
        <v>184</v>
      </c>
      <c r="B15" s="170" t="s">
        <v>837</v>
      </c>
      <c r="C15" s="171">
        <v>1</v>
      </c>
      <c r="D15" s="172"/>
      <c r="E15" s="172"/>
      <c r="F15" s="172"/>
      <c r="G15" s="173" t="s">
        <v>705</v>
      </c>
      <c r="H15" s="151"/>
      <c r="I15" s="151"/>
      <c r="J15" s="151"/>
      <c r="K15" s="151"/>
      <c r="L15" s="156"/>
      <c r="M15" s="157"/>
      <c r="N15" s="157"/>
      <c r="O15" s="157"/>
      <c r="P15" s="157"/>
      <c r="Q15" s="157"/>
      <c r="R15" s="157"/>
      <c r="S15" s="157"/>
      <c r="T15" s="158"/>
      <c r="U15" s="168"/>
    </row>
    <row r="16" spans="1:21" ht="12.75" x14ac:dyDescent="0.2">
      <c r="A16" s="175"/>
      <c r="B16" s="170" t="s">
        <v>898</v>
      </c>
      <c r="C16" s="171">
        <v>1</v>
      </c>
      <c r="D16" s="172"/>
      <c r="E16" s="172"/>
      <c r="F16" s="172"/>
      <c r="G16" s="173" t="s">
        <v>704</v>
      </c>
      <c r="H16" s="151"/>
      <c r="I16" s="151"/>
      <c r="J16" s="151"/>
      <c r="K16" s="151"/>
      <c r="L16" s="156"/>
      <c r="M16" s="157"/>
      <c r="N16" s="157"/>
      <c r="O16" s="157"/>
      <c r="P16" s="157"/>
      <c r="Q16" s="157"/>
      <c r="R16" s="157"/>
      <c r="S16" s="157"/>
      <c r="T16" s="158"/>
      <c r="U16" s="168"/>
    </row>
    <row r="17" spans="1:21" ht="21" x14ac:dyDescent="0.2">
      <c r="A17" s="175" t="s">
        <v>185</v>
      </c>
      <c r="B17" s="170" t="s">
        <v>837</v>
      </c>
      <c r="C17" s="171">
        <v>1</v>
      </c>
      <c r="D17" s="172"/>
      <c r="E17" s="172"/>
      <c r="F17" s="172"/>
      <c r="G17" s="173" t="s">
        <v>705</v>
      </c>
      <c r="H17" s="151"/>
      <c r="I17" s="151"/>
      <c r="J17" s="151"/>
      <c r="K17" s="151"/>
      <c r="L17" s="156"/>
      <c r="M17" s="157"/>
      <c r="N17" s="157"/>
      <c r="O17" s="157"/>
      <c r="P17" s="157"/>
      <c r="Q17" s="157"/>
      <c r="R17" s="157"/>
      <c r="S17" s="157"/>
      <c r="T17" s="158"/>
      <c r="U17" s="168"/>
    </row>
    <row r="18" spans="1:21" ht="12.75" x14ac:dyDescent="0.2">
      <c r="A18" s="175"/>
      <c r="B18" s="170" t="s">
        <v>898</v>
      </c>
      <c r="C18" s="171">
        <v>1</v>
      </c>
      <c r="D18" s="172"/>
      <c r="E18" s="172"/>
      <c r="F18" s="172"/>
      <c r="G18" s="173" t="s">
        <v>704</v>
      </c>
      <c r="H18" s="151"/>
      <c r="I18" s="151"/>
      <c r="J18" s="151"/>
      <c r="K18" s="151"/>
      <c r="L18" s="156"/>
      <c r="M18" s="157"/>
      <c r="N18" s="157"/>
      <c r="O18" s="157"/>
      <c r="P18" s="157"/>
      <c r="Q18" s="157"/>
      <c r="R18" s="157"/>
      <c r="S18" s="157"/>
      <c r="T18" s="158"/>
      <c r="U18" s="168"/>
    </row>
    <row r="19" spans="1:21" ht="21" x14ac:dyDescent="0.2">
      <c r="A19" s="169" t="s">
        <v>664</v>
      </c>
      <c r="B19" s="170" t="s">
        <v>665</v>
      </c>
      <c r="C19" s="171">
        <v>1</v>
      </c>
      <c r="D19" s="172"/>
      <c r="E19" s="172"/>
      <c r="F19" s="172"/>
      <c r="G19" s="173" t="s">
        <v>705</v>
      </c>
      <c r="H19" s="151"/>
      <c r="I19" s="151"/>
      <c r="J19" s="151"/>
      <c r="K19" s="151"/>
      <c r="L19" s="156"/>
      <c r="M19" s="157"/>
      <c r="N19" s="157"/>
      <c r="O19" s="157"/>
      <c r="P19" s="157"/>
      <c r="Q19" s="157"/>
      <c r="R19" s="157"/>
      <c r="S19" s="157"/>
      <c r="T19" s="158"/>
      <c r="U19" s="168"/>
    </row>
    <row r="20" spans="1:21" ht="18" x14ac:dyDescent="0.2">
      <c r="A20" s="169" t="s">
        <v>899</v>
      </c>
      <c r="B20" s="170" t="s">
        <v>301</v>
      </c>
      <c r="C20" s="171">
        <v>1</v>
      </c>
      <c r="D20" s="176"/>
      <c r="E20" s="176"/>
      <c r="F20" s="176"/>
      <c r="G20" s="173" t="s">
        <v>705</v>
      </c>
      <c r="H20" s="151"/>
      <c r="I20" s="151"/>
      <c r="J20" s="151"/>
      <c r="K20" s="151"/>
      <c r="L20" s="156"/>
      <c r="M20" s="157"/>
      <c r="N20" s="157"/>
      <c r="O20" s="157"/>
      <c r="P20" s="157"/>
      <c r="Q20" s="157"/>
      <c r="R20" s="157"/>
      <c r="S20" s="157"/>
      <c r="T20" s="158"/>
      <c r="U20" s="168"/>
    </row>
    <row r="21" spans="1:21" ht="18" x14ac:dyDescent="0.2">
      <c r="A21" s="169" t="s">
        <v>900</v>
      </c>
      <c r="B21" s="170" t="s">
        <v>512</v>
      </c>
      <c r="C21" s="171">
        <v>1</v>
      </c>
      <c r="D21" s="177"/>
      <c r="E21" s="177"/>
      <c r="F21" s="177"/>
      <c r="G21" s="173" t="s">
        <v>705</v>
      </c>
      <c r="H21" s="151"/>
      <c r="I21" s="151"/>
      <c r="J21" s="151"/>
      <c r="K21" s="151"/>
      <c r="L21" s="156"/>
      <c r="M21" s="157"/>
      <c r="N21" s="157"/>
      <c r="O21" s="157"/>
      <c r="P21" s="157"/>
      <c r="Q21" s="157"/>
      <c r="R21" s="157"/>
      <c r="S21" s="157"/>
      <c r="T21" s="158"/>
      <c r="U21" s="168"/>
    </row>
    <row r="22" spans="1:21" ht="12.75" x14ac:dyDescent="0.2">
      <c r="A22" s="169" t="s">
        <v>513</v>
      </c>
      <c r="B22" s="170" t="s">
        <v>343</v>
      </c>
      <c r="C22" s="171">
        <v>1</v>
      </c>
      <c r="D22" s="166"/>
      <c r="E22" s="166"/>
      <c r="F22" s="166"/>
      <c r="G22" s="173" t="s">
        <v>705</v>
      </c>
      <c r="H22" s="151"/>
      <c r="I22" s="151"/>
      <c r="J22" s="151"/>
      <c r="K22" s="151"/>
      <c r="L22" s="156"/>
      <c r="M22" s="157"/>
      <c r="N22" s="157"/>
      <c r="O22" s="157"/>
      <c r="P22" s="157"/>
      <c r="Q22" s="157"/>
      <c r="R22" s="157"/>
      <c r="S22" s="157"/>
      <c r="T22" s="158"/>
      <c r="U22" s="168"/>
    </row>
    <row r="23" spans="1:21" ht="12.75" x14ac:dyDescent="0.2">
      <c r="A23" s="169" t="s">
        <v>901</v>
      </c>
      <c r="B23" s="170" t="s">
        <v>344</v>
      </c>
      <c r="C23" s="171">
        <v>1</v>
      </c>
      <c r="D23" s="172"/>
      <c r="E23" s="172"/>
      <c r="F23" s="172"/>
      <c r="G23" s="173" t="s">
        <v>705</v>
      </c>
      <c r="H23" s="151"/>
      <c r="I23" s="151"/>
      <c r="J23" s="151"/>
      <c r="K23" s="151"/>
      <c r="L23" s="156"/>
      <c r="M23" s="157"/>
      <c r="N23" s="157"/>
      <c r="O23" s="157"/>
      <c r="P23" s="157"/>
      <c r="Q23" s="157"/>
      <c r="R23" s="157"/>
      <c r="S23" s="157"/>
      <c r="T23" s="158"/>
      <c r="U23" s="168"/>
    </row>
    <row r="24" spans="1:21" ht="12.75" x14ac:dyDescent="0.2">
      <c r="A24" s="169"/>
      <c r="B24" s="170"/>
      <c r="C24" s="171"/>
      <c r="D24" s="172"/>
      <c r="E24" s="172"/>
      <c r="F24" s="172"/>
      <c r="G24" s="173"/>
      <c r="H24" s="151"/>
      <c r="I24" s="151"/>
      <c r="J24" s="151"/>
      <c r="K24" s="151"/>
      <c r="L24" s="156"/>
      <c r="M24" s="157"/>
      <c r="N24" s="157"/>
      <c r="O24" s="157"/>
      <c r="P24" s="157"/>
      <c r="Q24" s="157"/>
      <c r="R24" s="157"/>
      <c r="S24" s="157"/>
      <c r="T24" s="158"/>
      <c r="U24" s="168"/>
    </row>
    <row r="25" spans="1:21" ht="30" x14ac:dyDescent="0.2">
      <c r="A25" s="178" t="s">
        <v>902</v>
      </c>
      <c r="B25" s="170"/>
      <c r="C25" s="171"/>
      <c r="D25" s="172"/>
      <c r="E25" s="172"/>
      <c r="F25" s="172"/>
      <c r="G25" s="173"/>
      <c r="H25" s="151"/>
      <c r="I25" s="151"/>
      <c r="J25" s="151"/>
      <c r="K25" s="151"/>
      <c r="L25" s="156"/>
      <c r="M25" s="157"/>
      <c r="N25" s="157"/>
      <c r="O25" s="157"/>
      <c r="P25" s="157"/>
      <c r="Q25" s="157"/>
      <c r="R25" s="157"/>
      <c r="S25" s="157"/>
      <c r="T25" s="158"/>
      <c r="U25" s="168"/>
    </row>
    <row r="26" spans="1:21" ht="14.25" x14ac:dyDescent="0.2">
      <c r="A26" s="179" t="s">
        <v>903</v>
      </c>
      <c r="B26" s="170"/>
      <c r="C26" s="171"/>
      <c r="D26" s="172"/>
      <c r="E26" s="172"/>
      <c r="F26" s="172"/>
      <c r="G26" s="180"/>
      <c r="H26" s="151"/>
      <c r="I26" s="151"/>
      <c r="J26" s="151"/>
      <c r="K26" s="151"/>
      <c r="L26" s="156"/>
      <c r="M26" s="157"/>
      <c r="N26" s="157"/>
      <c r="O26" s="157"/>
      <c r="P26" s="157"/>
      <c r="Q26" s="157"/>
      <c r="R26" s="157"/>
      <c r="S26" s="157"/>
      <c r="T26" s="158"/>
      <c r="U26" s="168"/>
    </row>
    <row r="27" spans="1:21" ht="18" x14ac:dyDescent="0.2">
      <c r="A27" s="169" t="s">
        <v>327</v>
      </c>
      <c r="B27" s="170" t="s">
        <v>904</v>
      </c>
      <c r="C27" s="171">
        <v>1</v>
      </c>
      <c r="D27" s="172"/>
      <c r="E27" s="172"/>
      <c r="F27" s="172"/>
      <c r="G27" s="180" t="s">
        <v>705</v>
      </c>
      <c r="H27" s="151"/>
      <c r="I27" s="151"/>
      <c r="J27" s="151"/>
      <c r="K27" s="151"/>
      <c r="L27" s="156"/>
      <c r="M27" s="157"/>
      <c r="N27" s="157"/>
      <c r="O27" s="157"/>
      <c r="P27" s="157"/>
      <c r="Q27" s="157"/>
      <c r="R27" s="157"/>
      <c r="S27" s="157"/>
      <c r="T27" s="158"/>
      <c r="U27" s="168"/>
    </row>
    <row r="28" spans="1:21" ht="28.5" x14ac:dyDescent="0.2">
      <c r="A28" s="179" t="s">
        <v>905</v>
      </c>
      <c r="B28" s="170"/>
      <c r="C28" s="171"/>
      <c r="D28" s="181"/>
      <c r="E28" s="181"/>
      <c r="F28" s="181"/>
      <c r="G28" s="182"/>
      <c r="H28" s="151"/>
      <c r="I28" s="151"/>
      <c r="J28" s="151"/>
      <c r="K28" s="151"/>
      <c r="L28" s="156"/>
      <c r="M28" s="157"/>
      <c r="N28" s="157"/>
      <c r="O28" s="157"/>
      <c r="P28" s="157"/>
      <c r="Q28" s="157"/>
      <c r="R28" s="157"/>
      <c r="S28" s="157"/>
      <c r="T28" s="158"/>
      <c r="U28" s="168"/>
    </row>
    <row r="29" spans="1:21" ht="21" x14ac:dyDescent="0.2">
      <c r="A29" s="169" t="s">
        <v>514</v>
      </c>
      <c r="B29" s="170" t="s">
        <v>345</v>
      </c>
      <c r="C29" s="171">
        <v>1</v>
      </c>
      <c r="D29" s="183"/>
      <c r="E29" s="183"/>
      <c r="F29" s="183"/>
      <c r="G29" s="180" t="s">
        <v>705</v>
      </c>
      <c r="H29" s="151"/>
      <c r="I29" s="151"/>
      <c r="J29" s="151"/>
      <c r="K29" s="151"/>
      <c r="L29" s="156"/>
      <c r="M29" s="157"/>
      <c r="N29" s="157"/>
      <c r="O29" s="157"/>
      <c r="P29" s="157"/>
      <c r="Q29" s="157"/>
      <c r="R29" s="157"/>
      <c r="S29" s="157"/>
      <c r="T29" s="158"/>
      <c r="U29" s="168"/>
    </row>
    <row r="30" spans="1:21" ht="21" x14ac:dyDescent="0.2">
      <c r="A30" s="169" t="s">
        <v>180</v>
      </c>
      <c r="B30" s="170" t="s">
        <v>515</v>
      </c>
      <c r="C30" s="171">
        <v>1</v>
      </c>
      <c r="D30" s="183"/>
      <c r="E30" s="183"/>
      <c r="F30" s="183"/>
      <c r="G30" s="182" t="s">
        <v>704</v>
      </c>
      <c r="H30" s="151"/>
      <c r="I30" s="151"/>
      <c r="J30" s="151"/>
      <c r="K30" s="151"/>
      <c r="L30" s="156"/>
      <c r="M30" s="157"/>
      <c r="N30" s="157"/>
      <c r="O30" s="157"/>
      <c r="P30" s="157"/>
      <c r="Q30" s="157"/>
      <c r="R30" s="157"/>
      <c r="S30" s="157"/>
      <c r="T30" s="158"/>
      <c r="U30" s="168"/>
    </row>
    <row r="31" spans="1:21" ht="21" x14ac:dyDescent="0.2">
      <c r="A31" s="169" t="s">
        <v>181</v>
      </c>
      <c r="B31" s="170" t="s">
        <v>898</v>
      </c>
      <c r="C31" s="171">
        <v>1</v>
      </c>
      <c r="D31" s="183"/>
      <c r="E31" s="183"/>
      <c r="F31" s="183"/>
      <c r="G31" s="184" t="s">
        <v>706</v>
      </c>
      <c r="H31" s="151"/>
      <c r="I31" s="151"/>
      <c r="J31" s="151"/>
      <c r="K31" s="151"/>
      <c r="L31" s="156"/>
      <c r="M31" s="157"/>
      <c r="N31" s="157"/>
      <c r="O31" s="157"/>
      <c r="P31" s="157"/>
      <c r="Q31" s="157"/>
      <c r="R31" s="157"/>
      <c r="S31" s="157"/>
      <c r="T31" s="158"/>
      <c r="U31" s="168"/>
    </row>
    <row r="32" spans="1:21" ht="28.5" x14ac:dyDescent="0.2">
      <c r="A32" s="179" t="s">
        <v>908</v>
      </c>
      <c r="B32" s="170"/>
      <c r="C32" s="171"/>
      <c r="D32" s="183"/>
      <c r="E32" s="183"/>
      <c r="F32" s="183"/>
      <c r="G32" s="184"/>
      <c r="H32" s="151"/>
      <c r="I32" s="151"/>
      <c r="J32" s="151"/>
      <c r="K32" s="151"/>
      <c r="L32" s="156"/>
      <c r="M32" s="157"/>
      <c r="N32" s="157"/>
      <c r="O32" s="157"/>
      <c r="P32" s="157"/>
      <c r="Q32" s="157"/>
      <c r="R32" s="157"/>
      <c r="S32" s="157"/>
      <c r="T32" s="158"/>
      <c r="U32" s="168"/>
    </row>
    <row r="33" spans="1:21" ht="12.75" x14ac:dyDescent="0.2">
      <c r="A33" s="175" t="s">
        <v>346</v>
      </c>
      <c r="B33" s="170" t="s">
        <v>932</v>
      </c>
      <c r="C33" s="171">
        <v>1</v>
      </c>
      <c r="D33" s="183"/>
      <c r="E33" s="183"/>
      <c r="F33" s="183"/>
      <c r="G33" s="184" t="s">
        <v>704</v>
      </c>
      <c r="H33" s="151"/>
      <c r="I33" s="151"/>
      <c r="J33" s="151"/>
      <c r="K33" s="151"/>
      <c r="L33" s="156"/>
      <c r="M33" s="157"/>
      <c r="N33" s="157"/>
      <c r="O33" s="157"/>
      <c r="P33" s="157"/>
      <c r="Q33" s="157"/>
      <c r="R33" s="157"/>
      <c r="S33" s="157"/>
      <c r="T33" s="158"/>
      <c r="U33" s="168"/>
    </row>
    <row r="34" spans="1:21" ht="14.25" x14ac:dyDescent="0.2">
      <c r="A34" s="185" t="s">
        <v>909</v>
      </c>
      <c r="B34" s="186"/>
      <c r="C34" s="171"/>
      <c r="D34" s="183"/>
      <c r="E34" s="183"/>
      <c r="F34" s="183"/>
      <c r="G34" s="184"/>
      <c r="H34" s="151"/>
      <c r="I34" s="151"/>
      <c r="J34" s="151"/>
      <c r="K34" s="151"/>
      <c r="L34" s="156"/>
      <c r="M34" s="157"/>
      <c r="N34" s="157"/>
      <c r="O34" s="157"/>
      <c r="P34" s="157"/>
      <c r="Q34" s="157"/>
      <c r="R34" s="157"/>
      <c r="S34" s="157"/>
      <c r="T34" s="158"/>
      <c r="U34" s="168"/>
    </row>
    <row r="35" spans="1:21" ht="42" x14ac:dyDescent="0.2">
      <c r="A35" s="175" t="s">
        <v>910</v>
      </c>
      <c r="B35" s="170" t="s">
        <v>345</v>
      </c>
      <c r="C35" s="171">
        <v>1</v>
      </c>
      <c r="D35" s="181"/>
      <c r="E35" s="181"/>
      <c r="F35" s="181"/>
      <c r="G35" s="184" t="s">
        <v>705</v>
      </c>
      <c r="H35" s="151"/>
      <c r="I35" s="151"/>
      <c r="J35" s="151"/>
      <c r="K35" s="151"/>
      <c r="L35" s="156"/>
      <c r="M35" s="157"/>
      <c r="N35" s="157"/>
      <c r="O35" s="157"/>
      <c r="P35" s="157"/>
      <c r="Q35" s="157"/>
      <c r="R35" s="157"/>
      <c r="S35" s="157"/>
      <c r="T35" s="158"/>
      <c r="U35" s="168"/>
    </row>
    <row r="36" spans="1:21" ht="21" x14ac:dyDescent="0.2">
      <c r="A36" s="175" t="s">
        <v>911</v>
      </c>
      <c r="B36" s="170" t="s">
        <v>898</v>
      </c>
      <c r="C36" s="171">
        <v>1</v>
      </c>
      <c r="D36" s="187"/>
      <c r="E36" s="187"/>
      <c r="F36" s="187"/>
      <c r="G36" s="184" t="s">
        <v>704</v>
      </c>
      <c r="H36" s="151"/>
      <c r="I36" s="151"/>
      <c r="J36" s="151"/>
      <c r="K36" s="151"/>
      <c r="L36" s="156"/>
      <c r="M36" s="157"/>
      <c r="N36" s="157"/>
      <c r="O36" s="157"/>
      <c r="P36" s="157"/>
      <c r="Q36" s="157"/>
      <c r="R36" s="157"/>
      <c r="S36" s="157"/>
      <c r="T36" s="158"/>
      <c r="U36" s="168"/>
    </row>
    <row r="37" spans="1:21" ht="21" x14ac:dyDescent="0.2">
      <c r="A37" s="175" t="s">
        <v>912</v>
      </c>
      <c r="B37" s="170" t="s">
        <v>898</v>
      </c>
      <c r="C37" s="171">
        <v>1</v>
      </c>
      <c r="D37" s="188"/>
      <c r="E37" s="188"/>
      <c r="F37" s="188"/>
      <c r="G37" s="184" t="s">
        <v>706</v>
      </c>
      <c r="H37" s="151"/>
      <c r="I37" s="151"/>
      <c r="J37" s="151"/>
      <c r="K37" s="151"/>
      <c r="L37" s="156"/>
      <c r="M37" s="157"/>
      <c r="N37" s="157"/>
      <c r="O37" s="157"/>
      <c r="P37" s="157"/>
      <c r="Q37" s="157"/>
      <c r="R37" s="157"/>
      <c r="S37" s="157"/>
      <c r="T37" s="158"/>
      <c r="U37" s="168"/>
    </row>
    <row r="38" spans="1:21" ht="52.5" x14ac:dyDescent="0.2">
      <c r="A38" s="189" t="s">
        <v>913</v>
      </c>
      <c r="B38" s="170" t="s">
        <v>345</v>
      </c>
      <c r="C38" s="171">
        <v>1</v>
      </c>
      <c r="D38" s="183"/>
      <c r="E38" s="183"/>
      <c r="F38" s="183"/>
      <c r="G38" s="184" t="s">
        <v>705</v>
      </c>
      <c r="H38" s="151"/>
      <c r="I38" s="151"/>
      <c r="J38" s="151"/>
      <c r="K38" s="151"/>
      <c r="L38" s="156"/>
      <c r="M38" s="157"/>
      <c r="N38" s="157"/>
      <c r="O38" s="157"/>
      <c r="P38" s="157"/>
      <c r="Q38" s="157"/>
      <c r="R38" s="157"/>
      <c r="S38" s="157"/>
      <c r="T38" s="158"/>
      <c r="U38" s="168"/>
    </row>
    <row r="39" spans="1:21" ht="31.5" x14ac:dyDescent="0.2">
      <c r="A39" s="189" t="s">
        <v>914</v>
      </c>
      <c r="B39" s="170" t="s">
        <v>898</v>
      </c>
      <c r="C39" s="171">
        <v>1</v>
      </c>
      <c r="D39" s="183"/>
      <c r="E39" s="183"/>
      <c r="F39" s="183"/>
      <c r="G39" s="184" t="s">
        <v>704</v>
      </c>
      <c r="H39" s="151"/>
      <c r="I39" s="151"/>
      <c r="J39" s="151"/>
      <c r="K39" s="151"/>
      <c r="L39" s="156"/>
      <c r="M39" s="157"/>
      <c r="N39" s="157"/>
      <c r="O39" s="157"/>
      <c r="P39" s="157"/>
      <c r="Q39" s="157"/>
      <c r="R39" s="157"/>
      <c r="S39" s="157"/>
      <c r="T39" s="158"/>
      <c r="U39" s="168"/>
    </row>
    <row r="40" spans="1:21" ht="31.5" x14ac:dyDescent="0.2">
      <c r="A40" s="189" t="s">
        <v>915</v>
      </c>
      <c r="B40" s="170" t="s">
        <v>898</v>
      </c>
      <c r="C40" s="171">
        <v>1</v>
      </c>
      <c r="D40" s="183"/>
      <c r="E40" s="183"/>
      <c r="F40" s="183"/>
      <c r="G40" s="184" t="s">
        <v>706</v>
      </c>
      <c r="H40" s="151"/>
      <c r="I40" s="151"/>
      <c r="J40" s="151"/>
      <c r="K40" s="151"/>
      <c r="L40" s="156"/>
      <c r="M40" s="157"/>
      <c r="N40" s="157"/>
      <c r="O40" s="157"/>
      <c r="P40" s="157"/>
      <c r="Q40" s="157"/>
      <c r="R40" s="157"/>
      <c r="S40" s="157"/>
      <c r="T40" s="158"/>
      <c r="U40" s="168"/>
    </row>
    <row r="41" spans="1:21" ht="52.5" x14ac:dyDescent="0.2">
      <c r="A41" s="189" t="s">
        <v>916</v>
      </c>
      <c r="B41" s="170" t="s">
        <v>345</v>
      </c>
      <c r="C41" s="171">
        <v>1</v>
      </c>
      <c r="D41" s="183"/>
      <c r="E41" s="183"/>
      <c r="F41" s="183"/>
      <c r="G41" s="184" t="s">
        <v>705</v>
      </c>
      <c r="H41" s="151"/>
      <c r="I41" s="151"/>
      <c r="J41" s="151"/>
      <c r="K41" s="151"/>
      <c r="L41" s="156"/>
      <c r="M41" s="157"/>
      <c r="N41" s="157"/>
      <c r="O41" s="157"/>
      <c r="P41" s="157"/>
      <c r="Q41" s="157"/>
      <c r="R41" s="157"/>
      <c r="S41" s="157"/>
      <c r="T41" s="158"/>
      <c r="U41" s="168"/>
    </row>
    <row r="42" spans="1:21" ht="31.5" x14ac:dyDescent="0.2">
      <c r="A42" s="189" t="s">
        <v>917</v>
      </c>
      <c r="B42" s="170" t="s">
        <v>898</v>
      </c>
      <c r="C42" s="171">
        <v>1</v>
      </c>
      <c r="D42" s="183"/>
      <c r="E42" s="183"/>
      <c r="F42" s="183"/>
      <c r="G42" s="184" t="s">
        <v>704</v>
      </c>
      <c r="H42" s="151"/>
      <c r="I42" s="151"/>
      <c r="J42" s="151"/>
      <c r="K42" s="151"/>
      <c r="L42" s="156"/>
      <c r="M42" s="157"/>
      <c r="N42" s="157"/>
      <c r="O42" s="157"/>
      <c r="P42" s="157"/>
      <c r="Q42" s="157"/>
      <c r="R42" s="157"/>
      <c r="S42" s="157"/>
      <c r="T42" s="158"/>
      <c r="U42" s="168"/>
    </row>
    <row r="43" spans="1:21" ht="31.5" x14ac:dyDescent="0.2">
      <c r="A43" s="189" t="s">
        <v>918</v>
      </c>
      <c r="B43" s="170" t="s">
        <v>898</v>
      </c>
      <c r="C43" s="171">
        <v>1</v>
      </c>
      <c r="D43" s="183"/>
      <c r="E43" s="183"/>
      <c r="F43" s="183"/>
      <c r="G43" s="184" t="s">
        <v>706</v>
      </c>
      <c r="H43" s="151"/>
      <c r="I43" s="151"/>
      <c r="J43" s="151"/>
      <c r="K43" s="151"/>
      <c r="L43" s="156"/>
      <c r="M43" s="157"/>
      <c r="N43" s="157"/>
      <c r="O43" s="157"/>
      <c r="P43" s="157"/>
      <c r="Q43" s="157"/>
      <c r="R43" s="157"/>
      <c r="S43" s="157"/>
      <c r="T43" s="158"/>
      <c r="U43" s="168"/>
    </row>
    <row r="44" spans="1:21" ht="28.5" x14ac:dyDescent="0.2">
      <c r="A44" s="185" t="s">
        <v>919</v>
      </c>
      <c r="B44" s="186"/>
      <c r="C44" s="171"/>
      <c r="D44" s="183"/>
      <c r="E44" s="183"/>
      <c r="F44" s="183"/>
      <c r="G44" s="184"/>
      <c r="H44" s="151"/>
      <c r="I44" s="151"/>
      <c r="J44" s="151"/>
      <c r="K44" s="151"/>
      <c r="L44" s="156"/>
      <c r="M44" s="157"/>
      <c r="N44" s="157"/>
      <c r="O44" s="157"/>
      <c r="P44" s="157"/>
      <c r="Q44" s="157"/>
      <c r="R44" s="157"/>
      <c r="S44" s="157"/>
      <c r="T44" s="158"/>
      <c r="U44" s="168"/>
    </row>
    <row r="45" spans="1:21" ht="42" x14ac:dyDescent="0.2">
      <c r="A45" s="175" t="s">
        <v>920</v>
      </c>
      <c r="B45" s="170" t="s">
        <v>345</v>
      </c>
      <c r="C45" s="171">
        <v>1</v>
      </c>
      <c r="D45" s="181"/>
      <c r="E45" s="183"/>
      <c r="F45" s="181"/>
      <c r="G45" s="184" t="s">
        <v>705</v>
      </c>
      <c r="H45" s="151"/>
      <c r="I45" s="151"/>
      <c r="J45" s="151"/>
      <c r="K45" s="151"/>
      <c r="L45" s="156"/>
      <c r="M45" s="157"/>
      <c r="N45" s="157"/>
      <c r="O45" s="157"/>
      <c r="P45" s="157"/>
      <c r="Q45" s="157"/>
      <c r="R45" s="157"/>
      <c r="S45" s="157"/>
      <c r="T45" s="158"/>
      <c r="U45" s="168"/>
    </row>
    <row r="46" spans="1:21" ht="21" x14ac:dyDescent="0.2">
      <c r="A46" s="175" t="s">
        <v>921</v>
      </c>
      <c r="B46" s="170" t="s">
        <v>898</v>
      </c>
      <c r="C46" s="171">
        <v>1</v>
      </c>
      <c r="D46" s="187"/>
      <c r="E46" s="183"/>
      <c r="F46" s="183"/>
      <c r="G46" s="184" t="s">
        <v>704</v>
      </c>
      <c r="H46" s="151"/>
      <c r="I46" s="151"/>
      <c r="J46" s="151"/>
      <c r="K46" s="151"/>
      <c r="L46" s="156"/>
      <c r="M46" s="157"/>
      <c r="N46" s="157"/>
      <c r="O46" s="157"/>
      <c r="P46" s="157"/>
      <c r="Q46" s="157"/>
      <c r="R46" s="157"/>
      <c r="S46" s="157"/>
      <c r="T46" s="158"/>
      <c r="U46" s="168"/>
    </row>
    <row r="47" spans="1:21" ht="21" x14ac:dyDescent="0.2">
      <c r="A47" s="175" t="s">
        <v>922</v>
      </c>
      <c r="B47" s="170" t="s">
        <v>898</v>
      </c>
      <c r="C47" s="171">
        <v>1</v>
      </c>
      <c r="D47" s="188"/>
      <c r="E47" s="183"/>
      <c r="F47" s="188"/>
      <c r="G47" s="184" t="s">
        <v>706</v>
      </c>
      <c r="H47" s="151"/>
      <c r="I47" s="151"/>
      <c r="J47" s="151"/>
      <c r="K47" s="151"/>
      <c r="L47" s="156"/>
      <c r="M47" s="157"/>
      <c r="N47" s="157"/>
      <c r="O47" s="157"/>
      <c r="P47" s="157"/>
      <c r="Q47" s="157"/>
      <c r="R47" s="157"/>
      <c r="S47" s="157"/>
      <c r="T47" s="158"/>
      <c r="U47" s="168"/>
    </row>
    <row r="48" spans="1:21" ht="52.5" x14ac:dyDescent="0.2">
      <c r="A48" s="189" t="s">
        <v>923</v>
      </c>
      <c r="B48" s="170" t="s">
        <v>345</v>
      </c>
      <c r="C48" s="171">
        <v>1</v>
      </c>
      <c r="D48" s="183"/>
      <c r="E48" s="183"/>
      <c r="F48" s="183"/>
      <c r="G48" s="184" t="s">
        <v>705</v>
      </c>
      <c r="H48" s="151"/>
      <c r="I48" s="151"/>
      <c r="J48" s="151"/>
      <c r="K48" s="151"/>
      <c r="L48" s="156"/>
      <c r="M48" s="157"/>
      <c r="N48" s="157"/>
      <c r="O48" s="157"/>
      <c r="P48" s="157"/>
      <c r="Q48" s="157"/>
      <c r="R48" s="157"/>
      <c r="S48" s="157"/>
      <c r="T48" s="158"/>
      <c r="U48" s="168"/>
    </row>
    <row r="49" spans="1:21" ht="31.5" x14ac:dyDescent="0.2">
      <c r="A49" s="189" t="s">
        <v>924</v>
      </c>
      <c r="B49" s="170" t="s">
        <v>898</v>
      </c>
      <c r="C49" s="171">
        <v>1</v>
      </c>
      <c r="D49" s="183"/>
      <c r="E49" s="183"/>
      <c r="F49" s="183"/>
      <c r="G49" s="184" t="s">
        <v>704</v>
      </c>
      <c r="H49" s="151"/>
      <c r="I49" s="151"/>
      <c r="J49" s="151"/>
      <c r="K49" s="151"/>
      <c r="L49" s="156"/>
      <c r="M49" s="157"/>
      <c r="N49" s="157"/>
      <c r="O49" s="157"/>
      <c r="P49" s="157"/>
      <c r="Q49" s="157"/>
      <c r="R49" s="157"/>
      <c r="S49" s="157"/>
      <c r="T49" s="158"/>
      <c r="U49" s="168"/>
    </row>
    <row r="50" spans="1:21" ht="31.5" x14ac:dyDescent="0.2">
      <c r="A50" s="189" t="s">
        <v>925</v>
      </c>
      <c r="B50" s="170" t="s">
        <v>898</v>
      </c>
      <c r="C50" s="171">
        <v>1</v>
      </c>
      <c r="D50" s="183"/>
      <c r="E50" s="183"/>
      <c r="F50" s="183"/>
      <c r="G50" s="184" t="s">
        <v>706</v>
      </c>
      <c r="H50" s="151"/>
      <c r="I50" s="151"/>
      <c r="J50" s="151"/>
      <c r="K50" s="151"/>
      <c r="L50" s="156"/>
      <c r="M50" s="157"/>
      <c r="N50" s="157"/>
      <c r="O50" s="157"/>
      <c r="P50" s="157"/>
      <c r="Q50" s="157"/>
      <c r="R50" s="157"/>
      <c r="S50" s="157"/>
      <c r="T50" s="158"/>
      <c r="U50" s="168"/>
    </row>
    <row r="51" spans="1:21" ht="42" x14ac:dyDescent="0.2">
      <c r="A51" s="189" t="s">
        <v>926</v>
      </c>
      <c r="B51" s="170" t="s">
        <v>345</v>
      </c>
      <c r="C51" s="171">
        <v>1</v>
      </c>
      <c r="D51" s="183"/>
      <c r="E51" s="183"/>
      <c r="F51" s="183"/>
      <c r="G51" s="184" t="s">
        <v>705</v>
      </c>
      <c r="H51" s="151"/>
      <c r="I51" s="151"/>
      <c r="J51" s="151"/>
      <c r="K51" s="151"/>
      <c r="L51" s="156"/>
      <c r="M51" s="157"/>
      <c r="N51" s="157"/>
      <c r="O51" s="157"/>
      <c r="P51" s="157"/>
      <c r="Q51" s="157"/>
      <c r="R51" s="157"/>
      <c r="S51" s="157"/>
      <c r="T51" s="158"/>
      <c r="U51" s="168"/>
    </row>
    <row r="52" spans="1:21" ht="21" x14ac:dyDescent="0.2">
      <c r="A52" s="189" t="s">
        <v>927</v>
      </c>
      <c r="B52" s="170" t="s">
        <v>898</v>
      </c>
      <c r="C52" s="171">
        <v>1</v>
      </c>
      <c r="D52" s="183"/>
      <c r="E52" s="183"/>
      <c r="F52" s="183"/>
      <c r="G52" s="184" t="s">
        <v>704</v>
      </c>
      <c r="H52" s="151"/>
      <c r="I52" s="151"/>
      <c r="J52" s="151"/>
      <c r="K52" s="151"/>
      <c r="L52" s="156"/>
      <c r="M52" s="157"/>
      <c r="N52" s="157"/>
      <c r="O52" s="157"/>
      <c r="P52" s="157"/>
      <c r="Q52" s="157"/>
      <c r="R52" s="157"/>
      <c r="S52" s="157"/>
      <c r="T52" s="158"/>
      <c r="U52" s="168"/>
    </row>
    <row r="53" spans="1:21" ht="21" x14ac:dyDescent="0.2">
      <c r="A53" s="189" t="s">
        <v>928</v>
      </c>
      <c r="B53" s="170" t="s">
        <v>898</v>
      </c>
      <c r="C53" s="171">
        <v>1</v>
      </c>
      <c r="D53" s="183"/>
      <c r="E53" s="183"/>
      <c r="F53" s="183"/>
      <c r="G53" s="184" t="s">
        <v>706</v>
      </c>
      <c r="H53" s="151"/>
      <c r="I53" s="151"/>
      <c r="J53" s="151"/>
      <c r="K53" s="151"/>
      <c r="L53" s="156"/>
      <c r="M53" s="157"/>
      <c r="N53" s="157"/>
      <c r="O53" s="157"/>
      <c r="P53" s="157"/>
      <c r="Q53" s="157"/>
      <c r="R53" s="157"/>
      <c r="S53" s="157"/>
      <c r="T53" s="158"/>
      <c r="U53" s="168"/>
    </row>
    <row r="54" spans="1:21" ht="52.5" x14ac:dyDescent="0.2">
      <c r="A54" s="189" t="s">
        <v>929</v>
      </c>
      <c r="B54" s="170" t="s">
        <v>345</v>
      </c>
      <c r="C54" s="171">
        <v>1</v>
      </c>
      <c r="D54" s="183"/>
      <c r="E54" s="183"/>
      <c r="F54" s="183"/>
      <c r="G54" s="184" t="s">
        <v>705</v>
      </c>
      <c r="H54" s="151"/>
      <c r="I54" s="151"/>
      <c r="J54" s="151"/>
      <c r="K54" s="151"/>
      <c r="L54" s="156"/>
      <c r="M54" s="157"/>
      <c r="N54" s="157"/>
      <c r="O54" s="157"/>
      <c r="P54" s="157"/>
      <c r="Q54" s="157"/>
      <c r="R54" s="157"/>
      <c r="S54" s="157"/>
      <c r="T54" s="158"/>
      <c r="U54" s="168"/>
    </row>
    <row r="55" spans="1:21" ht="31.5" x14ac:dyDescent="0.2">
      <c r="A55" s="189" t="s">
        <v>930</v>
      </c>
      <c r="B55" s="170" t="s">
        <v>898</v>
      </c>
      <c r="C55" s="171">
        <v>1</v>
      </c>
      <c r="D55" s="183"/>
      <c r="E55" s="183"/>
      <c r="F55" s="183"/>
      <c r="G55" s="184" t="s">
        <v>704</v>
      </c>
      <c r="H55" s="151"/>
      <c r="I55" s="151"/>
      <c r="J55" s="151"/>
      <c r="K55" s="151"/>
      <c r="L55" s="156"/>
      <c r="M55" s="157"/>
      <c r="N55" s="157"/>
      <c r="O55" s="157"/>
      <c r="P55" s="157"/>
      <c r="Q55" s="157"/>
      <c r="R55" s="157"/>
      <c r="S55" s="157"/>
      <c r="T55" s="158"/>
      <c r="U55" s="168"/>
    </row>
    <row r="56" spans="1:21" ht="31.5" x14ac:dyDescent="0.2">
      <c r="A56" s="189" t="s">
        <v>935</v>
      </c>
      <c r="B56" s="170" t="s">
        <v>898</v>
      </c>
      <c r="C56" s="171">
        <v>1</v>
      </c>
      <c r="D56" s="183"/>
      <c r="E56" s="183"/>
      <c r="F56" s="183"/>
      <c r="G56" s="184" t="s">
        <v>706</v>
      </c>
      <c r="H56" s="151"/>
      <c r="I56" s="151"/>
      <c r="J56" s="151"/>
      <c r="K56" s="151"/>
      <c r="L56" s="156"/>
      <c r="M56" s="157"/>
      <c r="N56" s="157"/>
      <c r="O56" s="157"/>
      <c r="P56" s="157"/>
      <c r="Q56" s="157"/>
      <c r="R56" s="157"/>
      <c r="S56" s="157"/>
      <c r="T56" s="158"/>
      <c r="U56" s="168"/>
    </row>
    <row r="57" spans="1:21" ht="52.5" x14ac:dyDescent="0.2">
      <c r="A57" s="189" t="s">
        <v>936</v>
      </c>
      <c r="B57" s="170" t="s">
        <v>345</v>
      </c>
      <c r="C57" s="171">
        <v>1</v>
      </c>
      <c r="D57" s="183"/>
      <c r="E57" s="183"/>
      <c r="F57" s="183"/>
      <c r="G57" s="184" t="s">
        <v>705</v>
      </c>
      <c r="H57" s="151"/>
      <c r="I57" s="151"/>
      <c r="J57" s="151"/>
      <c r="K57" s="151"/>
      <c r="L57" s="156"/>
      <c r="M57" s="157"/>
      <c r="N57" s="157"/>
      <c r="O57" s="157"/>
      <c r="P57" s="157"/>
      <c r="Q57" s="157"/>
      <c r="R57" s="157"/>
      <c r="S57" s="157"/>
      <c r="T57" s="158"/>
      <c r="U57" s="168"/>
    </row>
    <row r="58" spans="1:21" ht="31.5" x14ac:dyDescent="0.2">
      <c r="A58" s="189" t="s">
        <v>937</v>
      </c>
      <c r="B58" s="170" t="s">
        <v>898</v>
      </c>
      <c r="C58" s="171">
        <v>1</v>
      </c>
      <c r="D58" s="183"/>
      <c r="E58" s="183"/>
      <c r="F58" s="183"/>
      <c r="G58" s="184" t="s">
        <v>704</v>
      </c>
      <c r="H58" s="151"/>
      <c r="I58" s="151"/>
      <c r="J58" s="151"/>
      <c r="K58" s="151"/>
      <c r="L58" s="156"/>
      <c r="M58" s="157"/>
      <c r="N58" s="157"/>
      <c r="O58" s="157"/>
      <c r="P58" s="157"/>
      <c r="Q58" s="157"/>
      <c r="R58" s="157"/>
      <c r="S58" s="157"/>
      <c r="T58" s="158"/>
      <c r="U58" s="168"/>
    </row>
    <row r="59" spans="1:21" ht="31.5" x14ac:dyDescent="0.2">
      <c r="A59" s="189" t="s">
        <v>938</v>
      </c>
      <c r="B59" s="170" t="s">
        <v>898</v>
      </c>
      <c r="C59" s="171">
        <v>1</v>
      </c>
      <c r="D59" s="183"/>
      <c r="E59" s="183"/>
      <c r="F59" s="183"/>
      <c r="G59" s="184" t="s">
        <v>706</v>
      </c>
      <c r="H59" s="151"/>
      <c r="I59" s="151"/>
      <c r="J59" s="151"/>
      <c r="K59" s="151"/>
      <c r="L59" s="156"/>
      <c r="M59" s="157"/>
      <c r="N59" s="157"/>
      <c r="O59" s="157"/>
      <c r="P59" s="157"/>
      <c r="Q59" s="157"/>
      <c r="R59" s="157"/>
      <c r="S59" s="157"/>
      <c r="T59" s="158"/>
      <c r="U59" s="168"/>
    </row>
    <row r="60" spans="1:21" ht="63" x14ac:dyDescent="0.2">
      <c r="A60" s="189" t="s">
        <v>939</v>
      </c>
      <c r="B60" s="170" t="s">
        <v>345</v>
      </c>
      <c r="C60" s="171">
        <v>1</v>
      </c>
      <c r="D60" s="183"/>
      <c r="E60" s="183"/>
      <c r="F60" s="183"/>
      <c r="G60" s="184" t="s">
        <v>705</v>
      </c>
      <c r="H60" s="151"/>
      <c r="I60" s="151"/>
      <c r="J60" s="151"/>
      <c r="K60" s="151"/>
      <c r="L60" s="156"/>
      <c r="M60" s="157"/>
      <c r="N60" s="157"/>
      <c r="O60" s="157"/>
      <c r="P60" s="157"/>
      <c r="Q60" s="157"/>
      <c r="R60" s="157"/>
      <c r="S60" s="157"/>
      <c r="T60" s="158"/>
      <c r="U60" s="168"/>
    </row>
    <row r="61" spans="1:21" ht="42" x14ac:dyDescent="0.2">
      <c r="A61" s="189" t="s">
        <v>940</v>
      </c>
      <c r="B61" s="170" t="s">
        <v>898</v>
      </c>
      <c r="C61" s="171">
        <v>1</v>
      </c>
      <c r="D61" s="183"/>
      <c r="E61" s="183"/>
      <c r="F61" s="183"/>
      <c r="G61" s="184" t="s">
        <v>704</v>
      </c>
      <c r="H61" s="151"/>
      <c r="I61" s="151"/>
      <c r="J61" s="151"/>
      <c r="K61" s="151"/>
      <c r="L61" s="156"/>
      <c r="M61" s="157"/>
      <c r="N61" s="157"/>
      <c r="O61" s="157"/>
      <c r="P61" s="157"/>
      <c r="Q61" s="157"/>
      <c r="R61" s="157"/>
      <c r="S61" s="157"/>
      <c r="T61" s="158"/>
      <c r="U61" s="168"/>
    </row>
    <row r="62" spans="1:21" ht="42" x14ac:dyDescent="0.2">
      <c r="A62" s="189" t="s">
        <v>941</v>
      </c>
      <c r="B62" s="170" t="s">
        <v>898</v>
      </c>
      <c r="C62" s="171">
        <v>1</v>
      </c>
      <c r="D62" s="183"/>
      <c r="E62" s="183"/>
      <c r="F62" s="183"/>
      <c r="G62" s="184" t="s">
        <v>706</v>
      </c>
      <c r="H62" s="151"/>
      <c r="I62" s="151"/>
      <c r="J62" s="151"/>
      <c r="K62" s="151"/>
      <c r="L62" s="156"/>
      <c r="M62" s="157"/>
      <c r="N62" s="157"/>
      <c r="O62" s="157"/>
      <c r="P62" s="157"/>
      <c r="Q62" s="157"/>
      <c r="R62" s="157"/>
      <c r="S62" s="157"/>
      <c r="T62" s="158"/>
      <c r="U62" s="168"/>
    </row>
    <row r="63" spans="1:21" ht="42" x14ac:dyDescent="0.2">
      <c r="A63" s="189" t="s">
        <v>651</v>
      </c>
      <c r="B63" s="170" t="s">
        <v>345</v>
      </c>
      <c r="C63" s="171">
        <v>1</v>
      </c>
      <c r="D63" s="183"/>
      <c r="E63" s="183"/>
      <c r="F63" s="183"/>
      <c r="G63" s="184" t="s">
        <v>705</v>
      </c>
      <c r="H63" s="151"/>
      <c r="I63" s="151"/>
      <c r="J63" s="151"/>
      <c r="K63" s="151"/>
      <c r="L63" s="156"/>
      <c r="M63" s="157"/>
      <c r="N63" s="157"/>
      <c r="O63" s="157"/>
      <c r="P63" s="157"/>
      <c r="Q63" s="157"/>
      <c r="R63" s="157"/>
      <c r="S63" s="157"/>
      <c r="T63" s="158"/>
      <c r="U63" s="168"/>
    </row>
    <row r="64" spans="1:21" ht="21" x14ac:dyDescent="0.2">
      <c r="A64" s="189" t="s">
        <v>652</v>
      </c>
      <c r="B64" s="170" t="s">
        <v>898</v>
      </c>
      <c r="C64" s="171">
        <v>1</v>
      </c>
      <c r="D64" s="183"/>
      <c r="E64" s="183"/>
      <c r="F64" s="183"/>
      <c r="G64" s="184" t="s">
        <v>704</v>
      </c>
      <c r="H64" s="151"/>
      <c r="I64" s="151"/>
      <c r="J64" s="151"/>
      <c r="K64" s="151"/>
      <c r="L64" s="156"/>
      <c r="M64" s="157"/>
      <c r="N64" s="157"/>
      <c r="O64" s="157"/>
      <c r="P64" s="157"/>
      <c r="Q64" s="157"/>
      <c r="R64" s="157"/>
      <c r="S64" s="157"/>
      <c r="T64" s="158"/>
      <c r="U64" s="168"/>
    </row>
    <row r="65" spans="1:21" ht="21" x14ac:dyDescent="0.2">
      <c r="A65" s="189" t="s">
        <v>342</v>
      </c>
      <c r="B65" s="170" t="s">
        <v>898</v>
      </c>
      <c r="C65" s="171">
        <v>1</v>
      </c>
      <c r="D65" s="183"/>
      <c r="E65" s="183"/>
      <c r="F65" s="183"/>
      <c r="G65" s="184" t="s">
        <v>706</v>
      </c>
      <c r="H65" s="151"/>
      <c r="I65" s="151"/>
      <c r="J65" s="151"/>
      <c r="K65" s="151"/>
      <c r="L65" s="156"/>
      <c r="M65" s="157"/>
      <c r="N65" s="157"/>
      <c r="O65" s="157"/>
      <c r="P65" s="157"/>
      <c r="Q65" s="157"/>
      <c r="R65" s="157"/>
      <c r="S65" s="157"/>
      <c r="T65" s="158"/>
      <c r="U65" s="168"/>
    </row>
    <row r="66" spans="1:21" ht="42" x14ac:dyDescent="0.2">
      <c r="A66" s="189" t="s">
        <v>942</v>
      </c>
      <c r="B66" s="170" t="s">
        <v>345</v>
      </c>
      <c r="C66" s="171">
        <v>1</v>
      </c>
      <c r="D66" s="183"/>
      <c r="E66" s="183"/>
      <c r="F66" s="183"/>
      <c r="G66" s="184" t="s">
        <v>705</v>
      </c>
      <c r="H66" s="151"/>
      <c r="I66" s="151"/>
      <c r="J66" s="151"/>
      <c r="K66" s="151"/>
      <c r="L66" s="156"/>
      <c r="M66" s="157"/>
      <c r="N66" s="157"/>
      <c r="O66" s="157"/>
      <c r="P66" s="157"/>
      <c r="Q66" s="157"/>
      <c r="R66" s="157"/>
      <c r="S66" s="157"/>
      <c r="T66" s="158"/>
      <c r="U66" s="168"/>
    </row>
    <row r="67" spans="1:21" ht="21" x14ac:dyDescent="0.2">
      <c r="A67" s="189" t="s">
        <v>943</v>
      </c>
      <c r="B67" s="170" t="s">
        <v>898</v>
      </c>
      <c r="C67" s="171">
        <v>1</v>
      </c>
      <c r="D67" s="183"/>
      <c r="E67" s="183"/>
      <c r="F67" s="183"/>
      <c r="G67" s="184" t="s">
        <v>704</v>
      </c>
      <c r="H67" s="151"/>
      <c r="I67" s="151"/>
      <c r="J67" s="151"/>
      <c r="K67" s="151"/>
      <c r="L67" s="156"/>
      <c r="M67" s="157"/>
      <c r="N67" s="157"/>
      <c r="O67" s="157"/>
      <c r="P67" s="157"/>
      <c r="Q67" s="157"/>
      <c r="R67" s="157"/>
      <c r="S67" s="157"/>
      <c r="T67" s="158"/>
      <c r="U67" s="168"/>
    </row>
    <row r="68" spans="1:21" ht="21" x14ac:dyDescent="0.2">
      <c r="A68" s="189" t="s">
        <v>944</v>
      </c>
      <c r="B68" s="170" t="s">
        <v>898</v>
      </c>
      <c r="C68" s="171">
        <v>1</v>
      </c>
      <c r="D68" s="183"/>
      <c r="E68" s="183"/>
      <c r="F68" s="183"/>
      <c r="G68" s="184" t="s">
        <v>706</v>
      </c>
      <c r="H68" s="151"/>
      <c r="I68" s="151"/>
      <c r="J68" s="151"/>
      <c r="K68" s="151"/>
      <c r="L68" s="156"/>
      <c r="M68" s="157"/>
      <c r="N68" s="157"/>
      <c r="O68" s="157"/>
      <c r="P68" s="157"/>
      <c r="Q68" s="157"/>
      <c r="R68" s="157"/>
      <c r="S68" s="157"/>
      <c r="T68" s="158"/>
      <c r="U68" s="168"/>
    </row>
    <row r="69" spans="1:21" ht="52.5" x14ac:dyDescent="0.2">
      <c r="A69" s="189" t="s">
        <v>945</v>
      </c>
      <c r="B69" s="170" t="s">
        <v>345</v>
      </c>
      <c r="C69" s="171">
        <v>1</v>
      </c>
      <c r="D69" s="183"/>
      <c r="E69" s="183"/>
      <c r="F69" s="183"/>
      <c r="G69" s="184" t="s">
        <v>705</v>
      </c>
      <c r="H69" s="151"/>
      <c r="I69" s="151"/>
      <c r="J69" s="151"/>
      <c r="K69" s="151"/>
      <c r="L69" s="156"/>
      <c r="M69" s="157"/>
      <c r="N69" s="157"/>
      <c r="O69" s="157"/>
      <c r="P69" s="157"/>
      <c r="Q69" s="157"/>
      <c r="R69" s="157"/>
      <c r="S69" s="157"/>
      <c r="T69" s="158"/>
      <c r="U69" s="168"/>
    </row>
    <row r="70" spans="1:21" ht="31.5" x14ac:dyDescent="0.2">
      <c r="A70" s="189" t="s">
        <v>946</v>
      </c>
      <c r="B70" s="170" t="s">
        <v>898</v>
      </c>
      <c r="C70" s="171">
        <v>1</v>
      </c>
      <c r="D70" s="183"/>
      <c r="E70" s="183"/>
      <c r="F70" s="183"/>
      <c r="G70" s="184" t="s">
        <v>704</v>
      </c>
      <c r="H70" s="151"/>
      <c r="I70" s="151"/>
      <c r="J70" s="151"/>
      <c r="K70" s="151"/>
      <c r="L70" s="156"/>
      <c r="M70" s="157"/>
      <c r="N70" s="157"/>
      <c r="O70" s="157"/>
      <c r="P70" s="157"/>
      <c r="Q70" s="157"/>
      <c r="R70" s="157"/>
      <c r="S70" s="157"/>
      <c r="T70" s="158"/>
      <c r="U70" s="168"/>
    </row>
    <row r="71" spans="1:21" ht="31.5" x14ac:dyDescent="0.2">
      <c r="A71" s="189" t="s">
        <v>947</v>
      </c>
      <c r="B71" s="170" t="s">
        <v>898</v>
      </c>
      <c r="C71" s="171">
        <v>1</v>
      </c>
      <c r="D71" s="183"/>
      <c r="E71" s="183"/>
      <c r="F71" s="183"/>
      <c r="G71" s="184" t="s">
        <v>706</v>
      </c>
      <c r="H71" s="151"/>
      <c r="I71" s="151"/>
      <c r="J71" s="151"/>
      <c r="K71" s="151"/>
      <c r="L71" s="156"/>
      <c r="M71" s="157"/>
      <c r="N71" s="157"/>
      <c r="O71" s="157"/>
      <c r="P71" s="157"/>
      <c r="Q71" s="157"/>
      <c r="R71" s="157"/>
      <c r="S71" s="157"/>
      <c r="T71" s="158"/>
      <c r="U71" s="168"/>
    </row>
    <row r="72" spans="1:21" ht="52.5" x14ac:dyDescent="0.2">
      <c r="A72" s="189" t="s">
        <v>948</v>
      </c>
      <c r="B72" s="170" t="s">
        <v>345</v>
      </c>
      <c r="C72" s="171">
        <v>1</v>
      </c>
      <c r="D72" s="183"/>
      <c r="E72" s="183"/>
      <c r="F72" s="183"/>
      <c r="G72" s="184" t="s">
        <v>705</v>
      </c>
      <c r="H72" s="151"/>
      <c r="I72" s="151"/>
      <c r="J72" s="151"/>
      <c r="K72" s="151"/>
      <c r="L72" s="156"/>
      <c r="M72" s="157"/>
      <c r="N72" s="157"/>
      <c r="O72" s="157"/>
      <c r="P72" s="157"/>
      <c r="Q72" s="157"/>
      <c r="R72" s="157"/>
      <c r="S72" s="157"/>
      <c r="T72" s="158"/>
      <c r="U72" s="168"/>
    </row>
    <row r="73" spans="1:21" ht="31.5" x14ac:dyDescent="0.2">
      <c r="A73" s="189" t="s">
        <v>949</v>
      </c>
      <c r="B73" s="170" t="s">
        <v>898</v>
      </c>
      <c r="C73" s="171">
        <v>1</v>
      </c>
      <c r="D73" s="183"/>
      <c r="E73" s="183"/>
      <c r="F73" s="183"/>
      <c r="G73" s="184" t="s">
        <v>704</v>
      </c>
      <c r="H73" s="151"/>
      <c r="I73" s="151"/>
      <c r="J73" s="151"/>
      <c r="K73" s="151"/>
      <c r="L73" s="156"/>
      <c r="M73" s="157"/>
      <c r="N73" s="157"/>
      <c r="O73" s="157"/>
      <c r="P73" s="157"/>
      <c r="Q73" s="157"/>
      <c r="R73" s="157"/>
      <c r="S73" s="157"/>
      <c r="T73" s="158"/>
      <c r="U73" s="168"/>
    </row>
    <row r="74" spans="1:21" ht="31.5" x14ac:dyDescent="0.2">
      <c r="A74" s="189" t="s">
        <v>950</v>
      </c>
      <c r="B74" s="170" t="s">
        <v>898</v>
      </c>
      <c r="C74" s="171">
        <v>1</v>
      </c>
      <c r="D74" s="183"/>
      <c r="E74" s="183"/>
      <c r="F74" s="183"/>
      <c r="G74" s="184" t="s">
        <v>706</v>
      </c>
      <c r="H74" s="151"/>
      <c r="I74" s="151"/>
      <c r="J74" s="151"/>
      <c r="K74" s="151"/>
      <c r="L74" s="156"/>
      <c r="M74" s="157"/>
      <c r="N74" s="157"/>
      <c r="O74" s="157"/>
      <c r="P74" s="157"/>
      <c r="Q74" s="157"/>
      <c r="R74" s="157"/>
      <c r="S74" s="157"/>
      <c r="T74" s="158"/>
      <c r="U74" s="168"/>
    </row>
    <row r="75" spans="1:21" ht="63" x14ac:dyDescent="0.2">
      <c r="A75" s="189" t="s">
        <v>0</v>
      </c>
      <c r="B75" s="170" t="s">
        <v>615</v>
      </c>
      <c r="C75" s="171">
        <v>1</v>
      </c>
      <c r="D75" s="183"/>
      <c r="E75" s="183"/>
      <c r="F75" s="183"/>
      <c r="G75" s="184" t="s">
        <v>705</v>
      </c>
      <c r="H75" s="151"/>
      <c r="I75" s="151"/>
      <c r="J75" s="151"/>
      <c r="K75" s="151"/>
      <c r="L75" s="156"/>
      <c r="M75" s="157"/>
      <c r="N75" s="157"/>
      <c r="O75" s="157"/>
      <c r="P75" s="157"/>
      <c r="Q75" s="157"/>
      <c r="R75" s="157"/>
      <c r="S75" s="157"/>
      <c r="T75" s="158"/>
      <c r="U75" s="168"/>
    </row>
    <row r="76" spans="1:21" ht="42" x14ac:dyDescent="0.2">
      <c r="A76" s="189" t="s">
        <v>1</v>
      </c>
      <c r="B76" s="170" t="s">
        <v>898</v>
      </c>
      <c r="C76" s="171">
        <v>1</v>
      </c>
      <c r="D76" s="183"/>
      <c r="E76" s="183"/>
      <c r="F76" s="183"/>
      <c r="G76" s="184" t="s">
        <v>704</v>
      </c>
      <c r="H76" s="151"/>
      <c r="I76" s="151"/>
      <c r="J76" s="151"/>
      <c r="K76" s="151"/>
      <c r="L76" s="156"/>
      <c r="M76" s="157"/>
      <c r="N76" s="157"/>
      <c r="O76" s="157"/>
      <c r="P76" s="157"/>
      <c r="Q76" s="157"/>
      <c r="R76" s="157"/>
      <c r="S76" s="157"/>
      <c r="T76" s="158"/>
      <c r="U76" s="168"/>
    </row>
    <row r="77" spans="1:21" ht="42" x14ac:dyDescent="0.2">
      <c r="A77" s="189" t="s">
        <v>2</v>
      </c>
      <c r="B77" s="170" t="s">
        <v>898</v>
      </c>
      <c r="C77" s="171">
        <v>1</v>
      </c>
      <c r="D77" s="183"/>
      <c r="E77" s="183"/>
      <c r="F77" s="183"/>
      <c r="G77" s="184" t="s">
        <v>706</v>
      </c>
      <c r="H77" s="151"/>
      <c r="I77" s="151"/>
      <c r="J77" s="151"/>
      <c r="K77" s="151"/>
      <c r="L77" s="156"/>
      <c r="M77" s="157"/>
      <c r="N77" s="157"/>
      <c r="O77" s="157"/>
      <c r="P77" s="157"/>
      <c r="Q77" s="157"/>
      <c r="R77" s="157"/>
      <c r="S77" s="157"/>
      <c r="T77" s="158"/>
      <c r="U77" s="168"/>
    </row>
    <row r="78" spans="1:21" ht="52.5" x14ac:dyDescent="0.2">
      <c r="A78" s="189" t="s">
        <v>516</v>
      </c>
      <c r="B78" s="170" t="s">
        <v>345</v>
      </c>
      <c r="C78" s="171">
        <v>1</v>
      </c>
      <c r="D78" s="183"/>
      <c r="E78" s="183"/>
      <c r="F78" s="183"/>
      <c r="G78" s="184" t="s">
        <v>705</v>
      </c>
      <c r="H78" s="151"/>
      <c r="I78" s="151"/>
      <c r="J78" s="151"/>
      <c r="K78" s="151"/>
      <c r="L78" s="156"/>
      <c r="M78" s="157"/>
      <c r="N78" s="157"/>
      <c r="O78" s="157"/>
      <c r="P78" s="157"/>
      <c r="Q78" s="157"/>
      <c r="R78" s="157"/>
      <c r="S78" s="157"/>
      <c r="T78" s="158"/>
      <c r="U78" s="168"/>
    </row>
    <row r="79" spans="1:21" ht="31.5" x14ac:dyDescent="0.2">
      <c r="A79" s="189" t="s">
        <v>533</v>
      </c>
      <c r="B79" s="170" t="s">
        <v>898</v>
      </c>
      <c r="C79" s="171">
        <v>1</v>
      </c>
      <c r="D79" s="183"/>
      <c r="E79" s="183"/>
      <c r="F79" s="183"/>
      <c r="G79" s="184" t="s">
        <v>704</v>
      </c>
      <c r="H79" s="151"/>
      <c r="I79" s="151"/>
      <c r="J79" s="151"/>
      <c r="K79" s="151"/>
      <c r="L79" s="156"/>
      <c r="M79" s="157"/>
      <c r="N79" s="157"/>
      <c r="O79" s="157"/>
      <c r="P79" s="157"/>
      <c r="Q79" s="157"/>
      <c r="R79" s="157"/>
      <c r="S79" s="157"/>
      <c r="T79" s="158"/>
      <c r="U79" s="168"/>
    </row>
    <row r="80" spans="1:21" ht="31.5" x14ac:dyDescent="0.2">
      <c r="A80" s="189" t="s">
        <v>933</v>
      </c>
      <c r="B80" s="170" t="s">
        <v>898</v>
      </c>
      <c r="C80" s="171">
        <v>1</v>
      </c>
      <c r="D80" s="183"/>
      <c r="E80" s="183"/>
      <c r="F80" s="183"/>
      <c r="G80" s="184" t="s">
        <v>706</v>
      </c>
      <c r="H80" s="151"/>
      <c r="I80" s="151"/>
      <c r="J80" s="151"/>
      <c r="K80" s="151"/>
      <c r="L80" s="156"/>
      <c r="M80" s="157"/>
      <c r="N80" s="157"/>
      <c r="O80" s="157"/>
      <c r="P80" s="157"/>
      <c r="Q80" s="157"/>
      <c r="R80" s="157"/>
      <c r="S80" s="157"/>
      <c r="T80" s="158"/>
      <c r="U80" s="168"/>
    </row>
    <row r="81" spans="1:21" ht="52.5" x14ac:dyDescent="0.2">
      <c r="A81" s="189" t="s">
        <v>3</v>
      </c>
      <c r="B81" s="170" t="s">
        <v>345</v>
      </c>
      <c r="C81" s="171">
        <v>1</v>
      </c>
      <c r="D81" s="183"/>
      <c r="E81" s="183"/>
      <c r="F81" s="183"/>
      <c r="G81" s="184" t="s">
        <v>705</v>
      </c>
      <c r="H81" s="151"/>
      <c r="I81" s="151"/>
      <c r="J81" s="151"/>
      <c r="K81" s="151"/>
      <c r="L81" s="156"/>
      <c r="M81" s="157"/>
      <c r="N81" s="157"/>
      <c r="O81" s="157"/>
      <c r="P81" s="157"/>
      <c r="Q81" s="157"/>
      <c r="R81" s="157"/>
      <c r="S81" s="157"/>
      <c r="T81" s="158"/>
      <c r="U81" s="168"/>
    </row>
    <row r="82" spans="1:21" ht="31.5" x14ac:dyDescent="0.2">
      <c r="A82" s="189" t="s">
        <v>4</v>
      </c>
      <c r="B82" s="170" t="s">
        <v>898</v>
      </c>
      <c r="C82" s="171">
        <v>1</v>
      </c>
      <c r="D82" s="183"/>
      <c r="E82" s="183"/>
      <c r="F82" s="183"/>
      <c r="G82" s="184" t="s">
        <v>704</v>
      </c>
      <c r="H82" s="151"/>
      <c r="I82" s="151"/>
      <c r="J82" s="151"/>
      <c r="K82" s="151"/>
      <c r="L82" s="156"/>
      <c r="M82" s="157"/>
      <c r="N82" s="157"/>
      <c r="O82" s="157"/>
      <c r="P82" s="157"/>
      <c r="Q82" s="157"/>
      <c r="R82" s="157"/>
      <c r="S82" s="157"/>
      <c r="T82" s="158"/>
      <c r="U82" s="168"/>
    </row>
    <row r="83" spans="1:21" ht="31.5" x14ac:dyDescent="0.2">
      <c r="A83" s="189" t="s">
        <v>5</v>
      </c>
      <c r="B83" s="170" t="s">
        <v>898</v>
      </c>
      <c r="C83" s="171">
        <v>1</v>
      </c>
      <c r="D83" s="183"/>
      <c r="E83" s="183"/>
      <c r="F83" s="183"/>
      <c r="G83" s="184" t="s">
        <v>706</v>
      </c>
      <c r="H83" s="151"/>
      <c r="I83" s="151"/>
      <c r="J83" s="151"/>
      <c r="K83" s="151"/>
      <c r="L83" s="156"/>
      <c r="M83" s="157"/>
      <c r="N83" s="157"/>
      <c r="O83" s="157"/>
      <c r="P83" s="157"/>
      <c r="Q83" s="157"/>
      <c r="R83" s="157"/>
      <c r="S83" s="157"/>
      <c r="T83" s="158"/>
      <c r="U83" s="168"/>
    </row>
    <row r="84" spans="1:21" ht="52.5" x14ac:dyDescent="0.2">
      <c r="A84" s="189" t="s">
        <v>6</v>
      </c>
      <c r="B84" s="170" t="s">
        <v>345</v>
      </c>
      <c r="C84" s="171">
        <v>1</v>
      </c>
      <c r="D84" s="183"/>
      <c r="E84" s="183"/>
      <c r="F84" s="183"/>
      <c r="G84" s="184" t="s">
        <v>705</v>
      </c>
      <c r="H84" s="151"/>
      <c r="I84" s="151"/>
      <c r="J84" s="151"/>
      <c r="K84" s="151"/>
      <c r="L84" s="156"/>
      <c r="M84" s="157"/>
      <c r="N84" s="157"/>
      <c r="O84" s="157"/>
      <c r="P84" s="157"/>
      <c r="Q84" s="157"/>
      <c r="R84" s="157"/>
      <c r="S84" s="157"/>
      <c r="T84" s="158"/>
      <c r="U84" s="168"/>
    </row>
    <row r="85" spans="1:21" ht="31.5" x14ac:dyDescent="0.2">
      <c r="A85" s="189" t="s">
        <v>7</v>
      </c>
      <c r="B85" s="170" t="s">
        <v>898</v>
      </c>
      <c r="C85" s="171">
        <v>1</v>
      </c>
      <c r="D85" s="183"/>
      <c r="E85" s="183"/>
      <c r="F85" s="183"/>
      <c r="G85" s="184" t="s">
        <v>704</v>
      </c>
      <c r="H85" s="151"/>
      <c r="I85" s="151"/>
      <c r="J85" s="151"/>
      <c r="K85" s="151"/>
      <c r="L85" s="156"/>
      <c r="M85" s="157"/>
      <c r="N85" s="157"/>
      <c r="O85" s="157"/>
      <c r="P85" s="157"/>
      <c r="Q85" s="157"/>
      <c r="R85" s="157"/>
      <c r="S85" s="157"/>
      <c r="T85" s="158"/>
      <c r="U85" s="168"/>
    </row>
    <row r="86" spans="1:21" ht="31.5" x14ac:dyDescent="0.2">
      <c r="A86" s="189" t="s">
        <v>8</v>
      </c>
      <c r="B86" s="170" t="s">
        <v>898</v>
      </c>
      <c r="C86" s="171">
        <v>1</v>
      </c>
      <c r="D86" s="183"/>
      <c r="E86" s="183"/>
      <c r="F86" s="183"/>
      <c r="G86" s="184" t="s">
        <v>706</v>
      </c>
      <c r="H86" s="151"/>
      <c r="I86" s="151"/>
      <c r="J86" s="151"/>
      <c r="K86" s="151"/>
      <c r="L86" s="156"/>
      <c r="M86" s="157"/>
      <c r="N86" s="157"/>
      <c r="O86" s="157"/>
      <c r="P86" s="157"/>
      <c r="Q86" s="157"/>
      <c r="R86" s="157"/>
      <c r="S86" s="157"/>
      <c r="T86" s="158"/>
      <c r="U86" s="168"/>
    </row>
    <row r="87" spans="1:21" ht="42" x14ac:dyDescent="0.2">
      <c r="A87" s="189" t="s">
        <v>9</v>
      </c>
      <c r="B87" s="170" t="s">
        <v>345</v>
      </c>
      <c r="C87" s="171">
        <v>1</v>
      </c>
      <c r="D87" s="183"/>
      <c r="E87" s="183"/>
      <c r="F87" s="183"/>
      <c r="G87" s="184" t="s">
        <v>705</v>
      </c>
      <c r="H87" s="151"/>
      <c r="I87" s="151"/>
      <c r="J87" s="151"/>
      <c r="K87" s="151"/>
      <c r="L87" s="156"/>
      <c r="M87" s="157"/>
      <c r="N87" s="157"/>
      <c r="O87" s="157"/>
      <c r="P87" s="157"/>
      <c r="Q87" s="157"/>
      <c r="R87" s="157"/>
      <c r="S87" s="157"/>
      <c r="T87" s="158"/>
      <c r="U87" s="168"/>
    </row>
    <row r="88" spans="1:21" ht="21" x14ac:dyDescent="0.2">
      <c r="A88" s="189" t="s">
        <v>10</v>
      </c>
      <c r="B88" s="170" t="s">
        <v>898</v>
      </c>
      <c r="C88" s="171">
        <v>1</v>
      </c>
      <c r="D88" s="183"/>
      <c r="E88" s="183"/>
      <c r="F88" s="183"/>
      <c r="G88" s="184" t="s">
        <v>704</v>
      </c>
      <c r="H88" s="151"/>
      <c r="I88" s="151"/>
      <c r="J88" s="151"/>
      <c r="K88" s="151"/>
      <c r="L88" s="156"/>
      <c r="M88" s="157"/>
      <c r="N88" s="157"/>
      <c r="O88" s="157"/>
      <c r="P88" s="157"/>
      <c r="Q88" s="157"/>
      <c r="R88" s="157"/>
      <c r="S88" s="157"/>
      <c r="T88" s="158"/>
      <c r="U88" s="168"/>
    </row>
    <row r="89" spans="1:21" ht="21" x14ac:dyDescent="0.2">
      <c r="A89" s="189" t="s">
        <v>11</v>
      </c>
      <c r="B89" s="170" t="s">
        <v>898</v>
      </c>
      <c r="C89" s="171">
        <v>1</v>
      </c>
      <c r="D89" s="183"/>
      <c r="E89" s="183"/>
      <c r="F89" s="183"/>
      <c r="G89" s="184" t="s">
        <v>706</v>
      </c>
      <c r="H89" s="151"/>
      <c r="I89" s="151"/>
      <c r="J89" s="151"/>
      <c r="K89" s="151"/>
      <c r="L89" s="156"/>
      <c r="M89" s="157"/>
      <c r="N89" s="157"/>
      <c r="O89" s="157"/>
      <c r="P89" s="157"/>
      <c r="Q89" s="157"/>
      <c r="R89" s="157"/>
      <c r="S89" s="157"/>
      <c r="T89" s="158"/>
      <c r="U89" s="168"/>
    </row>
    <row r="90" spans="1:21" ht="28.5" x14ac:dyDescent="0.2">
      <c r="A90" s="179" t="s">
        <v>12</v>
      </c>
      <c r="B90" s="186"/>
      <c r="C90" s="171"/>
      <c r="D90" s="183"/>
      <c r="E90" s="183"/>
      <c r="F90" s="183"/>
      <c r="G90" s="184"/>
      <c r="H90" s="151"/>
      <c r="I90" s="151"/>
      <c r="J90" s="151"/>
      <c r="K90" s="151"/>
      <c r="L90" s="156"/>
      <c r="M90" s="157"/>
      <c r="N90" s="157"/>
      <c r="O90" s="157"/>
      <c r="P90" s="157"/>
      <c r="Q90" s="157"/>
      <c r="R90" s="157"/>
      <c r="S90" s="157"/>
      <c r="T90" s="158"/>
      <c r="U90" s="168"/>
    </row>
    <row r="91" spans="1:21" ht="42" x14ac:dyDescent="0.2">
      <c r="A91" s="169" t="s">
        <v>15</v>
      </c>
      <c r="B91" s="170" t="s">
        <v>345</v>
      </c>
      <c r="C91" s="171">
        <v>1</v>
      </c>
      <c r="D91" s="181"/>
      <c r="E91" s="181"/>
      <c r="F91" s="181"/>
      <c r="G91" s="184" t="s">
        <v>705</v>
      </c>
      <c r="H91" s="151"/>
      <c r="I91" s="151"/>
      <c r="J91" s="151"/>
      <c r="K91" s="151"/>
      <c r="L91" s="156"/>
      <c r="M91" s="157"/>
      <c r="N91" s="157"/>
      <c r="O91" s="157"/>
      <c r="P91" s="157"/>
      <c r="Q91" s="157"/>
      <c r="R91" s="157"/>
      <c r="S91" s="157"/>
      <c r="T91" s="158"/>
      <c r="U91" s="168"/>
    </row>
    <row r="92" spans="1:21" ht="21" x14ac:dyDescent="0.2">
      <c r="A92" s="169" t="s">
        <v>16</v>
      </c>
      <c r="B92" s="170" t="s">
        <v>898</v>
      </c>
      <c r="C92" s="171">
        <v>1</v>
      </c>
      <c r="D92" s="187"/>
      <c r="E92" s="187"/>
      <c r="F92" s="187"/>
      <c r="G92" s="184" t="s">
        <v>704</v>
      </c>
      <c r="H92" s="151"/>
      <c r="I92" s="151"/>
      <c r="J92" s="151"/>
      <c r="K92" s="151"/>
      <c r="L92" s="156"/>
      <c r="M92" s="157"/>
      <c r="N92" s="157"/>
      <c r="O92" s="157"/>
      <c r="P92" s="157"/>
      <c r="Q92" s="157"/>
      <c r="R92" s="157"/>
      <c r="S92" s="157"/>
      <c r="T92" s="158"/>
      <c r="U92" s="168"/>
    </row>
    <row r="93" spans="1:21" ht="21" x14ac:dyDescent="0.2">
      <c r="A93" s="169" t="s">
        <v>17</v>
      </c>
      <c r="B93" s="170" t="s">
        <v>898</v>
      </c>
      <c r="C93" s="171">
        <v>1</v>
      </c>
      <c r="D93" s="188"/>
      <c r="E93" s="188"/>
      <c r="F93" s="188"/>
      <c r="G93" s="184" t="s">
        <v>706</v>
      </c>
      <c r="H93" s="151"/>
      <c r="I93" s="151"/>
      <c r="J93" s="151"/>
      <c r="K93" s="151"/>
      <c r="L93" s="156"/>
      <c r="M93" s="157"/>
      <c r="N93" s="157"/>
      <c r="O93" s="157"/>
      <c r="P93" s="157"/>
      <c r="Q93" s="157"/>
      <c r="R93" s="157"/>
      <c r="S93" s="157"/>
      <c r="T93" s="158"/>
      <c r="U93" s="168"/>
    </row>
    <row r="94" spans="1:21" ht="12.75" x14ac:dyDescent="0.2">
      <c r="A94" s="191" t="s">
        <v>18</v>
      </c>
      <c r="B94" s="170" t="s">
        <v>323</v>
      </c>
      <c r="C94" s="171">
        <v>1</v>
      </c>
      <c r="D94" s="183"/>
      <c r="E94" s="183"/>
      <c r="F94" s="183"/>
      <c r="G94" s="184" t="s">
        <v>705</v>
      </c>
      <c r="H94" s="151"/>
      <c r="I94" s="151"/>
      <c r="J94" s="151"/>
      <c r="K94" s="151"/>
      <c r="L94" s="156"/>
      <c r="M94" s="157"/>
      <c r="N94" s="157"/>
      <c r="O94" s="157"/>
      <c r="P94" s="157"/>
      <c r="Q94" s="157"/>
      <c r="R94" s="157"/>
      <c r="S94" s="157"/>
      <c r="T94" s="158"/>
      <c r="U94" s="168"/>
    </row>
    <row r="95" spans="1:21" ht="12.75" x14ac:dyDescent="0.2">
      <c r="A95" s="169" t="s">
        <v>19</v>
      </c>
      <c r="B95" s="170"/>
      <c r="C95" s="171"/>
      <c r="D95" s="183"/>
      <c r="E95" s="183"/>
      <c r="F95" s="183"/>
      <c r="G95" s="184"/>
      <c r="H95" s="151"/>
      <c r="I95" s="151"/>
      <c r="J95" s="151"/>
      <c r="K95" s="151"/>
      <c r="L95" s="156"/>
      <c r="M95" s="157"/>
      <c r="N95" s="157"/>
      <c r="O95" s="157"/>
      <c r="P95" s="157"/>
      <c r="Q95" s="157"/>
      <c r="R95" s="157"/>
      <c r="S95" s="157"/>
      <c r="T95" s="158"/>
      <c r="U95" s="168"/>
    </row>
    <row r="96" spans="1:21" ht="12.75" x14ac:dyDescent="0.2">
      <c r="A96" s="175" t="s">
        <v>20</v>
      </c>
      <c r="B96" s="170" t="s">
        <v>21</v>
      </c>
      <c r="C96" s="171">
        <v>1</v>
      </c>
      <c r="D96" s="183"/>
      <c r="E96" s="183"/>
      <c r="F96" s="183"/>
      <c r="G96" s="184" t="s">
        <v>705</v>
      </c>
      <c r="H96" s="151"/>
      <c r="I96" s="151"/>
      <c r="J96" s="151"/>
      <c r="K96" s="151"/>
      <c r="L96" s="156"/>
      <c r="M96" s="157"/>
      <c r="N96" s="157"/>
      <c r="O96" s="157"/>
      <c r="P96" s="157"/>
      <c r="Q96" s="157"/>
      <c r="R96" s="157"/>
      <c r="S96" s="157"/>
      <c r="T96" s="158"/>
      <c r="U96" s="168"/>
    </row>
    <row r="97" spans="1:21" ht="12.75" x14ac:dyDescent="0.2">
      <c r="A97" s="175" t="s">
        <v>22</v>
      </c>
      <c r="B97" s="170" t="s">
        <v>21</v>
      </c>
      <c r="C97" s="171">
        <v>1</v>
      </c>
      <c r="D97" s="183"/>
      <c r="E97" s="183"/>
      <c r="F97" s="183"/>
      <c r="G97" s="184" t="s">
        <v>705</v>
      </c>
      <c r="H97" s="151"/>
      <c r="I97" s="151"/>
      <c r="J97" s="151"/>
      <c r="K97" s="151"/>
      <c r="L97" s="156"/>
      <c r="M97" s="157"/>
      <c r="N97" s="157"/>
      <c r="O97" s="157"/>
      <c r="P97" s="157"/>
      <c r="Q97" s="157"/>
      <c r="R97" s="157"/>
      <c r="S97" s="157"/>
      <c r="T97" s="158"/>
      <c r="U97" s="168"/>
    </row>
    <row r="98" spans="1:21" ht="12.75" x14ac:dyDescent="0.2">
      <c r="A98" s="175" t="s">
        <v>23</v>
      </c>
      <c r="B98" s="170" t="s">
        <v>21</v>
      </c>
      <c r="C98" s="171">
        <v>1</v>
      </c>
      <c r="D98" s="183"/>
      <c r="E98" s="183"/>
      <c r="F98" s="183"/>
      <c r="G98" s="184" t="s">
        <v>705</v>
      </c>
      <c r="H98" s="151"/>
      <c r="I98" s="151"/>
      <c r="J98" s="151"/>
      <c r="K98" s="151"/>
      <c r="L98" s="156"/>
      <c r="M98" s="157"/>
      <c r="N98" s="157"/>
      <c r="O98" s="157"/>
      <c r="P98" s="157"/>
      <c r="Q98" s="157"/>
      <c r="R98" s="157"/>
      <c r="S98" s="157"/>
      <c r="T98" s="158"/>
      <c r="U98" s="168"/>
    </row>
    <row r="99" spans="1:21" ht="31.5" x14ac:dyDescent="0.2">
      <c r="A99" s="169" t="s">
        <v>25</v>
      </c>
      <c r="B99" s="170" t="s">
        <v>136</v>
      </c>
      <c r="C99" s="171">
        <v>1</v>
      </c>
      <c r="D99" s="181"/>
      <c r="E99" s="181"/>
      <c r="F99" s="183"/>
      <c r="G99" s="184" t="s">
        <v>705</v>
      </c>
      <c r="H99" s="151"/>
      <c r="I99" s="151"/>
      <c r="J99" s="151"/>
      <c r="K99" s="151"/>
      <c r="L99" s="156"/>
      <c r="M99" s="157"/>
      <c r="N99" s="157"/>
      <c r="O99" s="157"/>
      <c r="P99" s="157"/>
      <c r="Q99" s="157"/>
      <c r="R99" s="157"/>
      <c r="S99" s="157"/>
      <c r="T99" s="158"/>
      <c r="U99" s="168"/>
    </row>
    <row r="100" spans="1:21" ht="18" x14ac:dyDescent="0.2">
      <c r="A100" s="169" t="s">
        <v>324</v>
      </c>
      <c r="B100" s="170" t="s">
        <v>137</v>
      </c>
      <c r="C100" s="171">
        <v>1</v>
      </c>
      <c r="D100" s="187"/>
      <c r="E100" s="187"/>
      <c r="F100" s="183"/>
      <c r="G100" s="184" t="s">
        <v>704</v>
      </c>
      <c r="H100" s="151"/>
      <c r="I100" s="151"/>
      <c r="J100" s="151"/>
      <c r="K100" s="151"/>
      <c r="L100" s="156"/>
      <c r="M100" s="157"/>
      <c r="N100" s="157"/>
      <c r="O100" s="157"/>
      <c r="P100" s="157"/>
      <c r="Q100" s="157"/>
      <c r="R100" s="157"/>
      <c r="S100" s="157"/>
      <c r="T100" s="158"/>
      <c r="U100" s="168"/>
    </row>
    <row r="101" spans="1:21" ht="18" x14ac:dyDescent="0.2">
      <c r="A101" s="186"/>
      <c r="B101" s="170" t="s">
        <v>26</v>
      </c>
      <c r="C101" s="171">
        <v>1</v>
      </c>
      <c r="D101" s="187"/>
      <c r="E101" s="187"/>
      <c r="F101" s="183"/>
      <c r="G101" s="184" t="s">
        <v>704</v>
      </c>
      <c r="H101" s="151"/>
      <c r="I101" s="151"/>
      <c r="J101" s="151"/>
      <c r="K101" s="151"/>
      <c r="L101" s="156"/>
      <c r="M101" s="157"/>
      <c r="N101" s="157"/>
      <c r="O101" s="157"/>
      <c r="P101" s="157"/>
      <c r="Q101" s="157"/>
      <c r="R101" s="157"/>
      <c r="S101" s="157"/>
      <c r="T101" s="158"/>
      <c r="U101" s="168"/>
    </row>
    <row r="102" spans="1:21" ht="12.75" x14ac:dyDescent="0.2">
      <c r="A102" s="169" t="s">
        <v>27</v>
      </c>
      <c r="B102" s="170"/>
      <c r="C102" s="171"/>
      <c r="D102" s="187"/>
      <c r="E102" s="187"/>
      <c r="F102" s="183"/>
      <c r="G102" s="184"/>
      <c r="H102" s="151"/>
      <c r="I102" s="151"/>
      <c r="J102" s="151"/>
      <c r="K102" s="151"/>
      <c r="L102" s="156"/>
      <c r="M102" s="157"/>
      <c r="N102" s="157"/>
      <c r="O102" s="157"/>
      <c r="P102" s="157"/>
      <c r="Q102" s="157"/>
      <c r="R102" s="157"/>
      <c r="S102" s="157"/>
      <c r="T102" s="158"/>
      <c r="U102" s="168"/>
    </row>
    <row r="103" spans="1:21" ht="12.75" x14ac:dyDescent="0.2">
      <c r="A103" s="175" t="s">
        <v>20</v>
      </c>
      <c r="B103" s="170" t="s">
        <v>136</v>
      </c>
      <c r="C103" s="171">
        <v>1</v>
      </c>
      <c r="D103" s="187"/>
      <c r="E103" s="187"/>
      <c r="F103" s="183"/>
      <c r="G103" s="184" t="s">
        <v>705</v>
      </c>
      <c r="H103" s="151"/>
      <c r="I103" s="151"/>
      <c r="J103" s="151"/>
      <c r="K103" s="151"/>
      <c r="L103" s="156"/>
      <c r="M103" s="157"/>
      <c r="N103" s="157"/>
      <c r="O103" s="157"/>
      <c r="P103" s="157"/>
      <c r="Q103" s="157"/>
      <c r="R103" s="157"/>
      <c r="S103" s="157"/>
      <c r="T103" s="158"/>
      <c r="U103" s="168"/>
    </row>
    <row r="104" spans="1:21" ht="18" x14ac:dyDescent="0.2">
      <c r="A104" s="175" t="s">
        <v>324</v>
      </c>
      <c r="B104" s="170" t="s">
        <v>137</v>
      </c>
      <c r="C104" s="171">
        <v>1</v>
      </c>
      <c r="D104" s="187"/>
      <c r="E104" s="187"/>
      <c r="F104" s="183"/>
      <c r="G104" s="184" t="s">
        <v>704</v>
      </c>
      <c r="H104" s="151"/>
      <c r="I104" s="151"/>
      <c r="J104" s="151"/>
      <c r="K104" s="151"/>
      <c r="L104" s="156"/>
      <c r="M104" s="157"/>
      <c r="N104" s="157"/>
      <c r="O104" s="157"/>
      <c r="P104" s="157"/>
      <c r="Q104" s="157"/>
      <c r="R104" s="157"/>
      <c r="S104" s="157"/>
      <c r="T104" s="158"/>
      <c r="U104" s="168"/>
    </row>
    <row r="105" spans="1:21" ht="18" x14ac:dyDescent="0.2">
      <c r="A105" s="186"/>
      <c r="B105" s="170" t="s">
        <v>26</v>
      </c>
      <c r="C105" s="171">
        <v>1</v>
      </c>
      <c r="D105" s="187"/>
      <c r="E105" s="187"/>
      <c r="F105" s="183"/>
      <c r="G105" s="184" t="s">
        <v>704</v>
      </c>
      <c r="H105" s="151"/>
      <c r="I105" s="151"/>
      <c r="J105" s="151"/>
      <c r="K105" s="151"/>
      <c r="L105" s="156"/>
      <c r="M105" s="157"/>
      <c r="N105" s="157"/>
      <c r="O105" s="157"/>
      <c r="P105" s="157"/>
      <c r="Q105" s="157"/>
      <c r="R105" s="157"/>
      <c r="S105" s="157"/>
      <c r="T105" s="158"/>
      <c r="U105" s="168"/>
    </row>
    <row r="106" spans="1:21" ht="12.75" x14ac:dyDescent="0.2">
      <c r="A106" s="175" t="s">
        <v>22</v>
      </c>
      <c r="B106" s="170" t="s">
        <v>136</v>
      </c>
      <c r="C106" s="171">
        <v>1</v>
      </c>
      <c r="D106" s="187"/>
      <c r="E106" s="187"/>
      <c r="F106" s="183"/>
      <c r="G106" s="184" t="s">
        <v>705</v>
      </c>
      <c r="H106" s="151"/>
      <c r="I106" s="151"/>
      <c r="J106" s="151"/>
      <c r="K106" s="151"/>
      <c r="L106" s="156"/>
      <c r="M106" s="157"/>
      <c r="N106" s="157"/>
      <c r="O106" s="157"/>
      <c r="P106" s="157"/>
      <c r="Q106" s="157"/>
      <c r="R106" s="157"/>
      <c r="S106" s="157"/>
      <c r="T106" s="158"/>
      <c r="U106" s="168"/>
    </row>
    <row r="107" spans="1:21" ht="18" x14ac:dyDescent="0.2">
      <c r="A107" s="175" t="s">
        <v>324</v>
      </c>
      <c r="B107" s="170" t="s">
        <v>137</v>
      </c>
      <c r="C107" s="171">
        <v>1</v>
      </c>
      <c r="D107" s="187"/>
      <c r="E107" s="187"/>
      <c r="F107" s="183"/>
      <c r="G107" s="184" t="s">
        <v>704</v>
      </c>
      <c r="H107" s="151"/>
      <c r="I107" s="151"/>
      <c r="J107" s="151"/>
      <c r="K107" s="151"/>
      <c r="L107" s="156"/>
      <c r="M107" s="157"/>
      <c r="N107" s="157"/>
      <c r="O107" s="157"/>
      <c r="P107" s="157"/>
      <c r="Q107" s="157"/>
      <c r="R107" s="157"/>
      <c r="S107" s="157"/>
      <c r="T107" s="158"/>
      <c r="U107" s="168"/>
    </row>
    <row r="108" spans="1:21" ht="18" x14ac:dyDescent="0.2">
      <c r="A108" s="186"/>
      <c r="B108" s="170" t="s">
        <v>26</v>
      </c>
      <c r="C108" s="171">
        <v>1</v>
      </c>
      <c r="D108" s="187"/>
      <c r="E108" s="187"/>
      <c r="F108" s="183"/>
      <c r="G108" s="184" t="s">
        <v>704</v>
      </c>
      <c r="H108" s="151"/>
      <c r="I108" s="151"/>
      <c r="J108" s="151"/>
      <c r="K108" s="151"/>
      <c r="L108" s="156"/>
      <c r="M108" s="157"/>
      <c r="N108" s="157"/>
      <c r="O108" s="157"/>
      <c r="P108" s="157"/>
      <c r="Q108" s="157"/>
      <c r="R108" s="157"/>
      <c r="S108" s="157"/>
      <c r="T108" s="158"/>
      <c r="U108" s="168"/>
    </row>
    <row r="109" spans="1:21" ht="12.75" x14ac:dyDescent="0.2">
      <c r="A109" s="175" t="s">
        <v>23</v>
      </c>
      <c r="B109" s="170" t="s">
        <v>136</v>
      </c>
      <c r="C109" s="171">
        <v>1</v>
      </c>
      <c r="D109" s="187"/>
      <c r="E109" s="187"/>
      <c r="F109" s="183"/>
      <c r="G109" s="184" t="s">
        <v>705</v>
      </c>
      <c r="H109" s="151"/>
      <c r="I109" s="151"/>
      <c r="J109" s="151"/>
      <c r="K109" s="151"/>
      <c r="L109" s="156"/>
      <c r="M109" s="157"/>
      <c r="N109" s="157"/>
      <c r="O109" s="157"/>
      <c r="P109" s="157"/>
      <c r="Q109" s="157"/>
      <c r="R109" s="157"/>
      <c r="S109" s="157"/>
      <c r="T109" s="158"/>
      <c r="U109" s="168"/>
    </row>
    <row r="110" spans="1:21" ht="18" x14ac:dyDescent="0.2">
      <c r="A110" s="175" t="s">
        <v>324</v>
      </c>
      <c r="B110" s="170" t="s">
        <v>137</v>
      </c>
      <c r="C110" s="171">
        <v>1</v>
      </c>
      <c r="D110" s="187"/>
      <c r="E110" s="187"/>
      <c r="F110" s="183"/>
      <c r="G110" s="184" t="s">
        <v>704</v>
      </c>
      <c r="H110" s="151"/>
      <c r="I110" s="151"/>
      <c r="J110" s="151"/>
      <c r="K110" s="151"/>
      <c r="L110" s="156"/>
      <c r="M110" s="157"/>
      <c r="N110" s="157"/>
      <c r="O110" s="157"/>
      <c r="P110" s="157"/>
      <c r="Q110" s="157"/>
      <c r="R110" s="157"/>
      <c r="S110" s="157"/>
      <c r="T110" s="158"/>
      <c r="U110" s="168"/>
    </row>
    <row r="111" spans="1:21" ht="18" x14ac:dyDescent="0.2">
      <c r="A111" s="186"/>
      <c r="B111" s="170" t="s">
        <v>26</v>
      </c>
      <c r="C111" s="171">
        <v>1</v>
      </c>
      <c r="D111" s="187"/>
      <c r="E111" s="187"/>
      <c r="F111" s="183"/>
      <c r="G111" s="184" t="s">
        <v>704</v>
      </c>
      <c r="H111" s="151"/>
      <c r="I111" s="151"/>
      <c r="J111" s="151"/>
      <c r="K111" s="151"/>
      <c r="L111" s="156"/>
      <c r="M111" s="157"/>
      <c r="N111" s="157"/>
      <c r="O111" s="157"/>
      <c r="P111" s="157"/>
      <c r="Q111" s="157"/>
      <c r="R111" s="157"/>
      <c r="S111" s="157"/>
      <c r="T111" s="158"/>
      <c r="U111" s="168"/>
    </row>
    <row r="112" spans="1:21" ht="42.75" x14ac:dyDescent="0.2">
      <c r="A112" s="179" t="s">
        <v>684</v>
      </c>
      <c r="B112" s="170"/>
      <c r="C112" s="171"/>
      <c r="D112" s="187"/>
      <c r="E112" s="187"/>
      <c r="F112" s="183"/>
      <c r="G112" s="184"/>
      <c r="H112" s="151"/>
      <c r="I112" s="151"/>
      <c r="J112" s="151"/>
      <c r="K112" s="151"/>
      <c r="L112" s="156"/>
      <c r="M112" s="157"/>
      <c r="N112" s="157"/>
      <c r="O112" s="157"/>
      <c r="P112" s="157"/>
      <c r="Q112" s="157"/>
      <c r="R112" s="157"/>
      <c r="S112" s="157"/>
      <c r="T112" s="158"/>
      <c r="U112" s="168"/>
    </row>
    <row r="113" spans="1:21" ht="42" x14ac:dyDescent="0.2">
      <c r="A113" s="169" t="s">
        <v>680</v>
      </c>
      <c r="B113" s="170" t="s">
        <v>345</v>
      </c>
      <c r="C113" s="171">
        <v>1</v>
      </c>
      <c r="D113" s="181"/>
      <c r="E113" s="181"/>
      <c r="F113" s="181"/>
      <c r="G113" s="184" t="s">
        <v>705</v>
      </c>
      <c r="H113" s="151"/>
      <c r="I113" s="151"/>
      <c r="J113" s="151"/>
      <c r="K113" s="151"/>
      <c r="L113" s="156"/>
      <c r="M113" s="157"/>
      <c r="N113" s="157"/>
      <c r="O113" s="157"/>
      <c r="P113" s="157"/>
      <c r="Q113" s="157"/>
      <c r="R113" s="157"/>
      <c r="S113" s="157"/>
      <c r="T113" s="158"/>
      <c r="U113" s="168"/>
    </row>
    <row r="114" spans="1:21" ht="21" x14ac:dyDescent="0.2">
      <c r="A114" s="169" t="s">
        <v>681</v>
      </c>
      <c r="B114" s="170" t="s">
        <v>898</v>
      </c>
      <c r="C114" s="171">
        <v>1</v>
      </c>
      <c r="D114" s="187"/>
      <c r="E114" s="187"/>
      <c r="F114" s="187"/>
      <c r="G114" s="184" t="s">
        <v>704</v>
      </c>
      <c r="H114" s="151"/>
      <c r="I114" s="151"/>
      <c r="J114" s="151"/>
      <c r="K114" s="151"/>
      <c r="L114" s="156"/>
      <c r="M114" s="157"/>
      <c r="N114" s="157"/>
      <c r="O114" s="157"/>
      <c r="P114" s="157"/>
      <c r="Q114" s="157"/>
      <c r="R114" s="157"/>
      <c r="S114" s="157"/>
      <c r="T114" s="158"/>
      <c r="U114" s="168"/>
    </row>
    <row r="115" spans="1:21" ht="42" x14ac:dyDescent="0.2">
      <c r="A115" s="169" t="s">
        <v>682</v>
      </c>
      <c r="B115" s="170" t="s">
        <v>345</v>
      </c>
      <c r="C115" s="171">
        <v>1</v>
      </c>
      <c r="D115" s="181"/>
      <c r="E115" s="181"/>
      <c r="F115" s="181"/>
      <c r="G115" s="184" t="s">
        <v>705</v>
      </c>
      <c r="H115" s="151"/>
      <c r="I115" s="151"/>
      <c r="J115" s="151"/>
      <c r="K115" s="151"/>
      <c r="L115" s="156"/>
      <c r="M115" s="157"/>
      <c r="N115" s="157"/>
      <c r="O115" s="157"/>
      <c r="P115" s="157"/>
      <c r="Q115" s="157"/>
      <c r="R115" s="157"/>
      <c r="S115" s="157"/>
      <c r="T115" s="158"/>
      <c r="U115" s="168"/>
    </row>
    <row r="116" spans="1:21" ht="21" x14ac:dyDescent="0.2">
      <c r="A116" s="169" t="s">
        <v>683</v>
      </c>
      <c r="B116" s="170" t="s">
        <v>898</v>
      </c>
      <c r="C116" s="171">
        <v>1</v>
      </c>
      <c r="D116" s="187"/>
      <c r="E116" s="187"/>
      <c r="F116" s="187"/>
      <c r="G116" s="184" t="s">
        <v>704</v>
      </c>
      <c r="H116" s="151"/>
      <c r="I116" s="151"/>
      <c r="J116" s="151"/>
      <c r="K116" s="151"/>
      <c r="L116" s="156"/>
      <c r="M116" s="157"/>
      <c r="N116" s="157"/>
      <c r="O116" s="157"/>
      <c r="P116" s="157"/>
      <c r="Q116" s="157"/>
      <c r="R116" s="157"/>
      <c r="S116" s="157"/>
      <c r="T116" s="158"/>
      <c r="U116" s="168"/>
    </row>
    <row r="117" spans="1:21" ht="14.25" x14ac:dyDescent="0.2">
      <c r="A117" s="179" t="s">
        <v>672</v>
      </c>
      <c r="B117" s="186"/>
      <c r="C117" s="171"/>
      <c r="D117" s="183"/>
      <c r="E117" s="183"/>
      <c r="F117" s="183"/>
      <c r="G117" s="184"/>
      <c r="H117" s="151"/>
      <c r="I117" s="151"/>
      <c r="J117" s="151"/>
      <c r="K117" s="151"/>
      <c r="L117" s="156"/>
      <c r="M117" s="157"/>
      <c r="N117" s="157"/>
      <c r="O117" s="157"/>
      <c r="P117" s="157"/>
      <c r="Q117" s="157"/>
      <c r="R117" s="157"/>
      <c r="S117" s="157"/>
      <c r="T117" s="158"/>
      <c r="U117" s="168"/>
    </row>
    <row r="118" spans="1:21" ht="21" x14ac:dyDescent="0.2">
      <c r="A118" s="169" t="s">
        <v>534</v>
      </c>
      <c r="B118" s="170" t="s">
        <v>578</v>
      </c>
      <c r="C118" s="171">
        <v>1</v>
      </c>
      <c r="D118" s="183"/>
      <c r="E118" s="183"/>
      <c r="F118" s="183"/>
      <c r="G118" s="184" t="s">
        <v>705</v>
      </c>
      <c r="H118" s="151"/>
      <c r="I118" s="151"/>
      <c r="J118" s="151"/>
      <c r="K118" s="151"/>
      <c r="L118" s="156"/>
      <c r="M118" s="157"/>
      <c r="N118" s="157"/>
      <c r="O118" s="157"/>
      <c r="P118" s="157"/>
      <c r="Q118" s="157"/>
      <c r="R118" s="157"/>
      <c r="S118" s="157"/>
      <c r="T118" s="158"/>
      <c r="U118" s="168"/>
    </row>
    <row r="119" spans="1:21" ht="21" x14ac:dyDescent="0.2">
      <c r="A119" s="169" t="s">
        <v>28</v>
      </c>
      <c r="B119" s="170" t="s">
        <v>898</v>
      </c>
      <c r="C119" s="171">
        <v>1</v>
      </c>
      <c r="D119" s="183"/>
      <c r="E119" s="183"/>
      <c r="F119" s="183"/>
      <c r="G119" s="184" t="s">
        <v>704</v>
      </c>
      <c r="H119" s="151"/>
      <c r="I119" s="151"/>
      <c r="J119" s="151"/>
      <c r="K119" s="151"/>
      <c r="L119" s="156"/>
      <c r="M119" s="157"/>
      <c r="N119" s="157"/>
      <c r="O119" s="157"/>
      <c r="P119" s="157"/>
      <c r="Q119" s="157"/>
      <c r="R119" s="157"/>
      <c r="S119" s="157"/>
      <c r="T119" s="158"/>
      <c r="U119" s="168"/>
    </row>
    <row r="120" spans="1:21" ht="21" x14ac:dyDescent="0.2">
      <c r="A120" s="169" t="s">
        <v>29</v>
      </c>
      <c r="B120" s="170" t="s">
        <v>898</v>
      </c>
      <c r="C120" s="171">
        <v>1</v>
      </c>
      <c r="D120" s="183"/>
      <c r="E120" s="183"/>
      <c r="F120" s="183"/>
      <c r="G120" s="184" t="s">
        <v>706</v>
      </c>
      <c r="H120" s="151"/>
      <c r="I120" s="151"/>
      <c r="J120" s="151"/>
      <c r="K120" s="151"/>
      <c r="L120" s="156"/>
      <c r="M120" s="157"/>
      <c r="N120" s="157"/>
      <c r="O120" s="157"/>
      <c r="P120" s="157"/>
      <c r="Q120" s="157"/>
      <c r="R120" s="157"/>
      <c r="S120" s="157"/>
      <c r="T120" s="158"/>
      <c r="U120" s="168"/>
    </row>
    <row r="121" spans="1:21" ht="12.75" x14ac:dyDescent="0.2">
      <c r="A121" s="175" t="s">
        <v>446</v>
      </c>
      <c r="B121" s="170"/>
      <c r="C121" s="171"/>
      <c r="D121" s="181"/>
      <c r="E121" s="181"/>
      <c r="F121" s="181"/>
      <c r="G121" s="192"/>
      <c r="H121" s="151"/>
      <c r="I121" s="151"/>
      <c r="J121" s="151"/>
      <c r="K121" s="151"/>
      <c r="L121" s="156"/>
      <c r="M121" s="157"/>
      <c r="N121" s="157"/>
      <c r="O121" s="157"/>
      <c r="P121" s="157"/>
      <c r="Q121" s="157"/>
      <c r="R121" s="157"/>
      <c r="S121" s="157"/>
      <c r="T121" s="158"/>
      <c r="U121" s="168"/>
    </row>
    <row r="122" spans="1:21" ht="12.75" x14ac:dyDescent="0.2">
      <c r="A122" s="189" t="s">
        <v>30</v>
      </c>
      <c r="B122" s="170" t="s">
        <v>578</v>
      </c>
      <c r="C122" s="171">
        <v>1</v>
      </c>
      <c r="D122" s="183"/>
      <c r="E122" s="183"/>
      <c r="F122" s="183"/>
      <c r="G122" s="184" t="s">
        <v>705</v>
      </c>
      <c r="H122" s="151"/>
      <c r="I122" s="151"/>
      <c r="J122" s="151"/>
      <c r="K122" s="151"/>
      <c r="L122" s="156"/>
      <c r="M122" s="157"/>
      <c r="N122" s="157"/>
      <c r="O122" s="157"/>
      <c r="P122" s="157"/>
      <c r="Q122" s="157"/>
      <c r="R122" s="157"/>
      <c r="S122" s="157"/>
      <c r="T122" s="158"/>
      <c r="U122" s="168"/>
    </row>
    <row r="123" spans="1:21" ht="21" x14ac:dyDescent="0.2">
      <c r="A123" s="189" t="s">
        <v>31</v>
      </c>
      <c r="B123" s="170" t="s">
        <v>898</v>
      </c>
      <c r="C123" s="171">
        <v>1</v>
      </c>
      <c r="D123" s="183"/>
      <c r="E123" s="183"/>
      <c r="F123" s="183"/>
      <c r="G123" s="184" t="s">
        <v>704</v>
      </c>
      <c r="H123" s="151"/>
      <c r="I123" s="151"/>
      <c r="J123" s="151"/>
      <c r="K123" s="151"/>
      <c r="L123" s="156"/>
      <c r="M123" s="157"/>
      <c r="N123" s="157"/>
      <c r="O123" s="157"/>
      <c r="P123" s="157"/>
      <c r="Q123" s="157"/>
      <c r="R123" s="157"/>
      <c r="S123" s="157"/>
      <c r="T123" s="158"/>
      <c r="U123" s="168"/>
    </row>
    <row r="124" spans="1:21" ht="21" x14ac:dyDescent="0.2">
      <c r="A124" s="189" t="s">
        <v>32</v>
      </c>
      <c r="B124" s="170" t="s">
        <v>898</v>
      </c>
      <c r="C124" s="171">
        <v>1</v>
      </c>
      <c r="D124" s="183"/>
      <c r="E124" s="183"/>
      <c r="F124" s="183"/>
      <c r="G124" s="184" t="s">
        <v>706</v>
      </c>
      <c r="H124" s="151"/>
      <c r="I124" s="151"/>
      <c r="J124" s="151"/>
      <c r="K124" s="151"/>
      <c r="L124" s="156"/>
      <c r="M124" s="157"/>
      <c r="N124" s="157"/>
      <c r="O124" s="157"/>
      <c r="P124" s="157"/>
      <c r="Q124" s="157"/>
      <c r="R124" s="157"/>
      <c r="S124" s="157"/>
      <c r="T124" s="158"/>
      <c r="U124" s="168"/>
    </row>
    <row r="125" spans="1:21" ht="12.75" x14ac:dyDescent="0.2">
      <c r="A125" s="189" t="s">
        <v>33</v>
      </c>
      <c r="B125" s="170" t="s">
        <v>578</v>
      </c>
      <c r="C125" s="171">
        <v>1</v>
      </c>
      <c r="D125" s="183"/>
      <c r="E125" s="183"/>
      <c r="F125" s="183"/>
      <c r="G125" s="184" t="s">
        <v>705</v>
      </c>
      <c r="H125" s="151"/>
      <c r="I125" s="151"/>
      <c r="J125" s="151"/>
      <c r="K125" s="151"/>
      <c r="L125" s="156"/>
      <c r="M125" s="157"/>
      <c r="N125" s="157"/>
      <c r="O125" s="157"/>
      <c r="P125" s="157"/>
      <c r="Q125" s="157"/>
      <c r="R125" s="157"/>
      <c r="S125" s="157"/>
      <c r="T125" s="158"/>
      <c r="U125" s="168"/>
    </row>
    <row r="126" spans="1:21" ht="21" x14ac:dyDescent="0.2">
      <c r="A126" s="189" t="s">
        <v>34</v>
      </c>
      <c r="B126" s="170" t="s">
        <v>898</v>
      </c>
      <c r="C126" s="171">
        <v>1</v>
      </c>
      <c r="D126" s="183"/>
      <c r="E126" s="183"/>
      <c r="F126" s="183"/>
      <c r="G126" s="184" t="s">
        <v>704</v>
      </c>
      <c r="H126" s="151"/>
      <c r="I126" s="151"/>
      <c r="J126" s="151"/>
      <c r="K126" s="151"/>
      <c r="L126" s="156"/>
      <c r="M126" s="157"/>
      <c r="N126" s="157"/>
      <c r="O126" s="157"/>
      <c r="P126" s="157"/>
      <c r="Q126" s="157"/>
      <c r="R126" s="157"/>
      <c r="S126" s="157"/>
      <c r="T126" s="158"/>
      <c r="U126" s="168"/>
    </row>
    <row r="127" spans="1:21" ht="21" x14ac:dyDescent="0.2">
      <c r="A127" s="189" t="s">
        <v>35</v>
      </c>
      <c r="B127" s="170" t="s">
        <v>898</v>
      </c>
      <c r="C127" s="171">
        <v>1</v>
      </c>
      <c r="D127" s="183"/>
      <c r="E127" s="183"/>
      <c r="F127" s="183"/>
      <c r="G127" s="184" t="s">
        <v>706</v>
      </c>
      <c r="H127" s="151"/>
      <c r="I127" s="151"/>
      <c r="J127" s="151"/>
      <c r="K127" s="151"/>
      <c r="L127" s="156"/>
      <c r="M127" s="157"/>
      <c r="N127" s="157"/>
      <c r="O127" s="157"/>
      <c r="P127" s="157"/>
      <c r="Q127" s="157"/>
      <c r="R127" s="157"/>
      <c r="S127" s="157"/>
      <c r="T127" s="158"/>
      <c r="U127" s="168"/>
    </row>
    <row r="128" spans="1:21" ht="21" x14ac:dyDescent="0.2">
      <c r="A128" s="191" t="s">
        <v>36</v>
      </c>
      <c r="B128" s="170"/>
      <c r="C128" s="171"/>
      <c r="D128" s="181"/>
      <c r="E128" s="181"/>
      <c r="F128" s="181"/>
      <c r="G128" s="192"/>
      <c r="H128" s="151"/>
      <c r="I128" s="151"/>
      <c r="J128" s="151"/>
      <c r="K128" s="151"/>
      <c r="L128" s="156"/>
      <c r="M128" s="157"/>
      <c r="N128" s="157"/>
      <c r="O128" s="157"/>
      <c r="P128" s="157"/>
      <c r="Q128" s="157"/>
      <c r="R128" s="157"/>
      <c r="S128" s="157"/>
      <c r="T128" s="158"/>
      <c r="U128" s="168"/>
    </row>
    <row r="129" spans="1:21" ht="21" x14ac:dyDescent="0.2">
      <c r="A129" s="175" t="s">
        <v>37</v>
      </c>
      <c r="B129" s="170" t="s">
        <v>345</v>
      </c>
      <c r="C129" s="171">
        <v>1</v>
      </c>
      <c r="D129" s="187"/>
      <c r="E129" s="187"/>
      <c r="F129" s="187"/>
      <c r="G129" s="193" t="s">
        <v>705</v>
      </c>
      <c r="H129" s="151"/>
      <c r="I129" s="151"/>
      <c r="J129" s="151"/>
      <c r="K129" s="151"/>
      <c r="L129" s="156"/>
      <c r="M129" s="157"/>
      <c r="N129" s="157"/>
      <c r="O129" s="157"/>
      <c r="P129" s="157"/>
      <c r="Q129" s="157"/>
      <c r="R129" s="157"/>
      <c r="S129" s="157"/>
      <c r="T129" s="158"/>
      <c r="U129" s="168"/>
    </row>
    <row r="130" spans="1:21" ht="21" x14ac:dyDescent="0.2">
      <c r="A130" s="175" t="s">
        <v>38</v>
      </c>
      <c r="B130" s="170" t="s">
        <v>898</v>
      </c>
      <c r="C130" s="171">
        <v>1</v>
      </c>
      <c r="D130" s="187"/>
      <c r="E130" s="187"/>
      <c r="F130" s="187"/>
      <c r="G130" s="193" t="s">
        <v>704</v>
      </c>
      <c r="H130" s="151"/>
      <c r="I130" s="151"/>
      <c r="J130" s="151"/>
      <c r="K130" s="151"/>
      <c r="L130" s="156"/>
      <c r="M130" s="157"/>
      <c r="N130" s="157"/>
      <c r="O130" s="157"/>
      <c r="P130" s="157"/>
      <c r="Q130" s="157"/>
      <c r="R130" s="157"/>
      <c r="S130" s="157"/>
      <c r="T130" s="158"/>
      <c r="U130" s="168"/>
    </row>
    <row r="131" spans="1:21" ht="31.5" x14ac:dyDescent="0.2">
      <c r="A131" s="175" t="s">
        <v>39</v>
      </c>
      <c r="B131" s="170" t="s">
        <v>345</v>
      </c>
      <c r="C131" s="171">
        <v>1</v>
      </c>
      <c r="D131" s="187"/>
      <c r="E131" s="187"/>
      <c r="F131" s="187"/>
      <c r="G131" s="193" t="s">
        <v>705</v>
      </c>
      <c r="H131" s="151"/>
      <c r="I131" s="151"/>
      <c r="J131" s="151"/>
      <c r="K131" s="151"/>
      <c r="L131" s="156"/>
      <c r="M131" s="157"/>
      <c r="N131" s="157"/>
      <c r="O131" s="157"/>
      <c r="P131" s="157"/>
      <c r="Q131" s="157"/>
      <c r="R131" s="157"/>
      <c r="S131" s="157"/>
      <c r="T131" s="158"/>
      <c r="U131" s="168"/>
    </row>
    <row r="132" spans="1:21" ht="31.5" x14ac:dyDescent="0.2">
      <c r="A132" s="175" t="s">
        <v>40</v>
      </c>
      <c r="B132" s="170" t="s">
        <v>898</v>
      </c>
      <c r="C132" s="171">
        <v>1</v>
      </c>
      <c r="D132" s="187"/>
      <c r="E132" s="187"/>
      <c r="F132" s="187"/>
      <c r="G132" s="193" t="s">
        <v>704</v>
      </c>
      <c r="H132" s="151"/>
      <c r="I132" s="151"/>
      <c r="J132" s="151"/>
      <c r="K132" s="151"/>
      <c r="L132" s="156"/>
      <c r="M132" s="157"/>
      <c r="N132" s="157"/>
      <c r="O132" s="157"/>
      <c r="P132" s="157"/>
      <c r="Q132" s="157"/>
      <c r="R132" s="157"/>
      <c r="S132" s="157"/>
      <c r="T132" s="158"/>
      <c r="U132" s="168"/>
    </row>
    <row r="133" spans="1:21" ht="12.75" x14ac:dyDescent="0.2">
      <c r="A133" s="175" t="s">
        <v>41</v>
      </c>
      <c r="B133" s="170" t="s">
        <v>345</v>
      </c>
      <c r="C133" s="171">
        <v>1</v>
      </c>
      <c r="D133" s="187"/>
      <c r="E133" s="187"/>
      <c r="F133" s="187"/>
      <c r="G133" s="193" t="s">
        <v>705</v>
      </c>
      <c r="H133" s="151"/>
      <c r="I133" s="151"/>
      <c r="J133" s="151"/>
      <c r="K133" s="151"/>
      <c r="L133" s="156"/>
      <c r="M133" s="157"/>
      <c r="N133" s="157"/>
      <c r="O133" s="157"/>
      <c r="P133" s="157"/>
      <c r="Q133" s="157"/>
      <c r="R133" s="157"/>
      <c r="S133" s="157"/>
      <c r="T133" s="158"/>
      <c r="U133" s="168"/>
    </row>
    <row r="134" spans="1:21" ht="21" x14ac:dyDescent="0.2">
      <c r="A134" s="175" t="s">
        <v>42</v>
      </c>
      <c r="B134" s="170" t="s">
        <v>898</v>
      </c>
      <c r="C134" s="171">
        <v>1</v>
      </c>
      <c r="D134" s="188"/>
      <c r="E134" s="188"/>
      <c r="F134" s="188"/>
      <c r="G134" s="194" t="s">
        <v>704</v>
      </c>
      <c r="H134" s="151"/>
      <c r="I134" s="151"/>
      <c r="J134" s="151"/>
      <c r="K134" s="151"/>
      <c r="L134" s="156"/>
      <c r="M134" s="157"/>
      <c r="N134" s="157"/>
      <c r="O134" s="157"/>
      <c r="P134" s="157"/>
      <c r="Q134" s="157"/>
      <c r="R134" s="157"/>
      <c r="S134" s="157"/>
      <c r="T134" s="158"/>
      <c r="U134" s="168"/>
    </row>
    <row r="135" spans="1:21" ht="14.25" x14ac:dyDescent="0.2">
      <c r="A135" s="179" t="s">
        <v>673</v>
      </c>
      <c r="B135" s="186"/>
      <c r="C135" s="171"/>
      <c r="D135" s="183"/>
      <c r="E135" s="183"/>
      <c r="F135" s="183"/>
      <c r="G135" s="184"/>
      <c r="H135" s="151"/>
      <c r="I135" s="151"/>
      <c r="J135" s="151"/>
      <c r="K135" s="151"/>
      <c r="L135" s="156"/>
      <c r="M135" s="157"/>
      <c r="N135" s="157"/>
      <c r="O135" s="157"/>
      <c r="P135" s="157"/>
      <c r="Q135" s="157"/>
      <c r="R135" s="157"/>
      <c r="S135" s="157"/>
      <c r="T135" s="158"/>
      <c r="U135" s="168"/>
    </row>
    <row r="136" spans="1:21" ht="14.25" x14ac:dyDescent="0.2">
      <c r="A136" s="179" t="s">
        <v>306</v>
      </c>
      <c r="B136" s="186"/>
      <c r="C136" s="171"/>
      <c r="D136" s="181"/>
      <c r="E136" s="181"/>
      <c r="F136" s="181"/>
      <c r="G136" s="184"/>
      <c r="H136" s="151"/>
      <c r="I136" s="151"/>
      <c r="J136" s="151"/>
      <c r="K136" s="151"/>
      <c r="L136" s="156"/>
      <c r="M136" s="157"/>
      <c r="N136" s="157"/>
      <c r="O136" s="157"/>
      <c r="P136" s="157"/>
      <c r="Q136" s="157"/>
      <c r="R136" s="157"/>
      <c r="S136" s="157"/>
      <c r="T136" s="158"/>
      <c r="U136" s="168"/>
    </row>
    <row r="137" spans="1:21" ht="21" x14ac:dyDescent="0.2">
      <c r="A137" s="169" t="s">
        <v>471</v>
      </c>
      <c r="B137" s="170" t="s">
        <v>481</v>
      </c>
      <c r="C137" s="171">
        <v>1</v>
      </c>
      <c r="D137" s="181"/>
      <c r="E137" s="181"/>
      <c r="F137" s="181"/>
      <c r="G137" s="184" t="s">
        <v>705</v>
      </c>
      <c r="H137" s="151"/>
      <c r="I137" s="151"/>
      <c r="J137" s="151"/>
      <c r="K137" s="151"/>
      <c r="L137" s="156"/>
      <c r="M137" s="157"/>
      <c r="N137" s="157"/>
      <c r="O137" s="157"/>
      <c r="P137" s="157"/>
      <c r="Q137" s="157"/>
      <c r="R137" s="157"/>
      <c r="S137" s="157"/>
      <c r="T137" s="158"/>
      <c r="U137" s="168"/>
    </row>
    <row r="138" spans="1:21" ht="21" x14ac:dyDescent="0.2">
      <c r="A138" s="169" t="s">
        <v>475</v>
      </c>
      <c r="B138" s="170" t="s">
        <v>481</v>
      </c>
      <c r="C138" s="171">
        <v>1</v>
      </c>
      <c r="D138" s="187"/>
      <c r="E138" s="187"/>
      <c r="F138" s="187"/>
      <c r="G138" s="184" t="s">
        <v>705</v>
      </c>
      <c r="H138" s="151"/>
      <c r="I138" s="151"/>
      <c r="J138" s="151"/>
      <c r="K138" s="151"/>
      <c r="L138" s="156"/>
      <c r="M138" s="157"/>
      <c r="N138" s="157"/>
      <c r="O138" s="157"/>
      <c r="P138" s="157"/>
      <c r="Q138" s="157"/>
      <c r="R138" s="157"/>
      <c r="S138" s="157"/>
      <c r="T138" s="158"/>
      <c r="U138" s="168"/>
    </row>
    <row r="139" spans="1:21" ht="21" x14ac:dyDescent="0.2">
      <c r="A139" s="169" t="s">
        <v>535</v>
      </c>
      <c r="B139" s="170" t="s">
        <v>43</v>
      </c>
      <c r="C139" s="171">
        <v>1</v>
      </c>
      <c r="D139" s="187"/>
      <c r="E139" s="187"/>
      <c r="F139" s="187"/>
      <c r="G139" s="184" t="s">
        <v>705</v>
      </c>
      <c r="H139" s="151"/>
      <c r="I139" s="151"/>
      <c r="J139" s="151"/>
      <c r="K139" s="151"/>
      <c r="L139" s="156"/>
      <c r="M139" s="157"/>
      <c r="N139" s="157"/>
      <c r="O139" s="157"/>
      <c r="P139" s="157"/>
      <c r="Q139" s="157"/>
      <c r="R139" s="157"/>
      <c r="S139" s="157"/>
      <c r="T139" s="158"/>
      <c r="U139" s="168"/>
    </row>
    <row r="140" spans="1:21" ht="31.5" x14ac:dyDescent="0.2">
      <c r="A140" s="169" t="s">
        <v>44</v>
      </c>
      <c r="B140" s="170" t="s">
        <v>469</v>
      </c>
      <c r="C140" s="171">
        <v>1</v>
      </c>
      <c r="D140" s="188"/>
      <c r="E140" s="188"/>
      <c r="F140" s="188"/>
      <c r="G140" s="184" t="s">
        <v>705</v>
      </c>
      <c r="H140" s="151"/>
      <c r="I140" s="151"/>
      <c r="J140" s="151"/>
      <c r="K140" s="151"/>
      <c r="L140" s="156"/>
      <c r="M140" s="157"/>
      <c r="N140" s="157"/>
      <c r="O140" s="157"/>
      <c r="P140" s="157"/>
      <c r="Q140" s="157"/>
      <c r="R140" s="157"/>
      <c r="S140" s="157"/>
      <c r="T140" s="158"/>
      <c r="U140" s="168"/>
    </row>
    <row r="141" spans="1:21" ht="14.25" x14ac:dyDescent="0.2">
      <c r="A141" s="179" t="s">
        <v>307</v>
      </c>
      <c r="B141" s="170"/>
      <c r="C141" s="171"/>
      <c r="D141" s="187"/>
      <c r="E141" s="187"/>
      <c r="F141" s="188"/>
      <c r="G141" s="184"/>
      <c r="H141" s="151"/>
      <c r="I141" s="151"/>
      <c r="J141" s="151"/>
      <c r="K141" s="151"/>
      <c r="L141" s="156"/>
      <c r="M141" s="157"/>
      <c r="N141" s="157"/>
      <c r="O141" s="157"/>
      <c r="P141" s="157"/>
      <c r="Q141" s="157"/>
      <c r="R141" s="157"/>
      <c r="S141" s="157"/>
      <c r="T141" s="158"/>
      <c r="U141" s="168"/>
    </row>
    <row r="142" spans="1:21" ht="12.75" x14ac:dyDescent="0.2">
      <c r="A142" s="195" t="s">
        <v>536</v>
      </c>
      <c r="B142" s="196"/>
      <c r="C142" s="171"/>
      <c r="D142" s="187"/>
      <c r="E142" s="187"/>
      <c r="F142" s="188"/>
      <c r="G142" s="184"/>
      <c r="H142" s="151"/>
      <c r="I142" s="151"/>
      <c r="J142" s="151"/>
      <c r="K142" s="151"/>
      <c r="L142" s="156"/>
      <c r="M142" s="157"/>
      <c r="N142" s="157"/>
      <c r="O142" s="157"/>
      <c r="P142" s="157"/>
      <c r="Q142" s="157"/>
      <c r="R142" s="157"/>
      <c r="S142" s="157"/>
      <c r="T142" s="158"/>
      <c r="U142" s="168"/>
    </row>
    <row r="143" spans="1:21" ht="12.75" x14ac:dyDescent="0.2">
      <c r="A143" s="197" t="s">
        <v>308</v>
      </c>
      <c r="B143" s="198" t="s">
        <v>615</v>
      </c>
      <c r="C143" s="171">
        <v>1</v>
      </c>
      <c r="D143" s="187"/>
      <c r="E143" s="187"/>
      <c r="F143" s="188"/>
      <c r="G143" s="193" t="s">
        <v>705</v>
      </c>
      <c r="H143" s="151"/>
      <c r="I143" s="151"/>
      <c r="J143" s="151"/>
      <c r="K143" s="151"/>
      <c r="L143" s="156"/>
      <c r="M143" s="157"/>
      <c r="N143" s="157"/>
      <c r="O143" s="157"/>
      <c r="P143" s="157"/>
      <c r="Q143" s="157"/>
      <c r="R143" s="157"/>
      <c r="S143" s="157"/>
      <c r="T143" s="158"/>
      <c r="U143" s="168"/>
    </row>
    <row r="144" spans="1:21" ht="12.75" x14ac:dyDescent="0.2">
      <c r="A144" s="199" t="s">
        <v>309</v>
      </c>
      <c r="B144" s="196" t="s">
        <v>310</v>
      </c>
      <c r="C144" s="171">
        <v>1</v>
      </c>
      <c r="D144" s="187"/>
      <c r="E144" s="187"/>
      <c r="F144" s="188"/>
      <c r="G144" s="194" t="s">
        <v>704</v>
      </c>
      <c r="H144" s="151"/>
      <c r="I144" s="151"/>
      <c r="J144" s="151"/>
      <c r="K144" s="151"/>
      <c r="L144" s="156"/>
      <c r="M144" s="157"/>
      <c r="N144" s="157"/>
      <c r="O144" s="157"/>
      <c r="P144" s="157"/>
      <c r="Q144" s="157"/>
      <c r="R144" s="157"/>
      <c r="S144" s="157"/>
      <c r="T144" s="158"/>
      <c r="U144" s="168"/>
    </row>
    <row r="145" spans="1:21" ht="12.75" x14ac:dyDescent="0.2">
      <c r="A145" s="200"/>
      <c r="B145" s="196"/>
      <c r="C145" s="171"/>
      <c r="D145" s="187"/>
      <c r="E145" s="187"/>
      <c r="F145" s="188"/>
      <c r="G145" s="184"/>
      <c r="H145" s="151"/>
      <c r="I145" s="151"/>
      <c r="J145" s="151"/>
      <c r="K145" s="151"/>
      <c r="L145" s="156"/>
      <c r="M145" s="157"/>
      <c r="N145" s="157"/>
      <c r="O145" s="157"/>
      <c r="P145" s="157"/>
      <c r="Q145" s="157"/>
      <c r="R145" s="157"/>
      <c r="S145" s="157"/>
      <c r="T145" s="158"/>
      <c r="U145" s="168"/>
    </row>
    <row r="146" spans="1:21" ht="12.75" x14ac:dyDescent="0.2">
      <c r="A146" s="201" t="s">
        <v>446</v>
      </c>
      <c r="B146" s="202"/>
      <c r="C146" s="171"/>
      <c r="D146" s="187"/>
      <c r="E146" s="187"/>
      <c r="F146" s="188"/>
      <c r="G146" s="184"/>
      <c r="H146" s="151"/>
      <c r="I146" s="151"/>
      <c r="J146" s="151"/>
      <c r="K146" s="151"/>
      <c r="L146" s="156"/>
      <c r="M146" s="157"/>
      <c r="N146" s="157"/>
      <c r="O146" s="157"/>
      <c r="P146" s="157"/>
      <c r="Q146" s="157"/>
      <c r="R146" s="157"/>
      <c r="S146" s="157"/>
      <c r="T146" s="158"/>
      <c r="U146" s="168"/>
    </row>
    <row r="147" spans="1:21" ht="12.75" x14ac:dyDescent="0.2">
      <c r="A147" s="203" t="s">
        <v>537</v>
      </c>
      <c r="B147" s="202"/>
      <c r="C147" s="171"/>
      <c r="D147" s="187"/>
      <c r="E147" s="187"/>
      <c r="F147" s="188"/>
      <c r="G147" s="184"/>
      <c r="H147" s="151"/>
      <c r="I147" s="151"/>
      <c r="J147" s="151"/>
      <c r="K147" s="151"/>
      <c r="L147" s="156"/>
      <c r="M147" s="157"/>
      <c r="N147" s="157"/>
      <c r="O147" s="157"/>
      <c r="P147" s="157"/>
      <c r="Q147" s="157"/>
      <c r="R147" s="157"/>
      <c r="S147" s="157"/>
      <c r="T147" s="158"/>
      <c r="U147" s="168"/>
    </row>
    <row r="148" spans="1:21" ht="12.75" x14ac:dyDescent="0.2">
      <c r="A148" s="197" t="s">
        <v>308</v>
      </c>
      <c r="B148" s="198" t="s">
        <v>615</v>
      </c>
      <c r="C148" s="171">
        <v>1</v>
      </c>
      <c r="D148" s="187"/>
      <c r="E148" s="187"/>
      <c r="F148" s="188"/>
      <c r="G148" s="193" t="s">
        <v>705</v>
      </c>
      <c r="H148" s="151"/>
      <c r="I148" s="151"/>
      <c r="J148" s="151"/>
      <c r="K148" s="151"/>
      <c r="L148" s="156"/>
      <c r="M148" s="157"/>
      <c r="N148" s="157"/>
      <c r="O148" s="157"/>
      <c r="P148" s="157"/>
      <c r="Q148" s="157"/>
      <c r="R148" s="157"/>
      <c r="S148" s="157"/>
      <c r="T148" s="158"/>
      <c r="U148" s="168"/>
    </row>
    <row r="149" spans="1:21" ht="12.75" x14ac:dyDescent="0.2">
      <c r="A149" s="199" t="s">
        <v>309</v>
      </c>
      <c r="B149" s="196" t="s">
        <v>310</v>
      </c>
      <c r="C149" s="171">
        <v>1</v>
      </c>
      <c r="D149" s="187"/>
      <c r="E149" s="187"/>
      <c r="F149" s="188"/>
      <c r="G149" s="194" t="s">
        <v>704</v>
      </c>
      <c r="H149" s="151"/>
      <c r="I149" s="151"/>
      <c r="J149" s="151"/>
      <c r="K149" s="151"/>
      <c r="L149" s="156"/>
      <c r="M149" s="157"/>
      <c r="N149" s="157"/>
      <c r="O149" s="157"/>
      <c r="P149" s="157"/>
      <c r="Q149" s="157"/>
      <c r="R149" s="157"/>
      <c r="S149" s="157"/>
      <c r="T149" s="158"/>
      <c r="U149" s="168"/>
    </row>
    <row r="150" spans="1:21" ht="12.75" x14ac:dyDescent="0.2">
      <c r="A150" s="200"/>
      <c r="B150" s="196"/>
      <c r="C150" s="171"/>
      <c r="D150" s="187"/>
      <c r="E150" s="187"/>
      <c r="F150" s="188"/>
      <c r="G150" s="184"/>
      <c r="H150" s="151"/>
      <c r="I150" s="151"/>
      <c r="J150" s="151"/>
      <c r="K150" s="151"/>
      <c r="L150" s="156"/>
      <c r="M150" s="157"/>
      <c r="N150" s="157"/>
      <c r="O150" s="157"/>
      <c r="P150" s="157"/>
      <c r="Q150" s="157"/>
      <c r="R150" s="157"/>
      <c r="S150" s="157"/>
      <c r="T150" s="158"/>
      <c r="U150" s="168"/>
    </row>
    <row r="151" spans="1:21" ht="21.75" x14ac:dyDescent="0.2">
      <c r="A151" s="204" t="s">
        <v>538</v>
      </c>
      <c r="B151" s="202"/>
      <c r="C151" s="171"/>
      <c r="D151" s="187"/>
      <c r="E151" s="187"/>
      <c r="F151" s="188"/>
      <c r="G151" s="184"/>
      <c r="H151" s="151"/>
      <c r="I151" s="151"/>
      <c r="J151" s="151"/>
      <c r="K151" s="151"/>
      <c r="L151" s="156"/>
      <c r="M151" s="157"/>
      <c r="N151" s="157"/>
      <c r="O151" s="157"/>
      <c r="P151" s="157"/>
      <c r="Q151" s="157"/>
      <c r="R151" s="157"/>
      <c r="S151" s="157"/>
      <c r="T151" s="158"/>
      <c r="U151" s="168"/>
    </row>
    <row r="152" spans="1:21" ht="12.75" x14ac:dyDescent="0.2">
      <c r="A152" s="197" t="s">
        <v>308</v>
      </c>
      <c r="B152" s="198" t="s">
        <v>615</v>
      </c>
      <c r="C152" s="171">
        <v>1</v>
      </c>
      <c r="D152" s="187"/>
      <c r="E152" s="187"/>
      <c r="F152" s="188"/>
      <c r="G152" s="193" t="s">
        <v>705</v>
      </c>
      <c r="H152" s="151"/>
      <c r="I152" s="151"/>
      <c r="J152" s="151"/>
      <c r="K152" s="151"/>
      <c r="L152" s="156"/>
      <c r="M152" s="157"/>
      <c r="N152" s="157"/>
      <c r="O152" s="157"/>
      <c r="P152" s="157"/>
      <c r="Q152" s="157"/>
      <c r="R152" s="157"/>
      <c r="S152" s="157"/>
      <c r="T152" s="158"/>
      <c r="U152" s="168"/>
    </row>
    <row r="153" spans="1:21" ht="12.75" x14ac:dyDescent="0.2">
      <c r="A153" s="199" t="s">
        <v>309</v>
      </c>
      <c r="B153" s="196" t="s">
        <v>310</v>
      </c>
      <c r="C153" s="171">
        <v>1</v>
      </c>
      <c r="D153" s="187"/>
      <c r="E153" s="187"/>
      <c r="F153" s="188"/>
      <c r="G153" s="194" t="s">
        <v>704</v>
      </c>
      <c r="H153" s="151"/>
      <c r="I153" s="151"/>
      <c r="J153" s="151"/>
      <c r="K153" s="151"/>
      <c r="L153" s="156"/>
      <c r="M153" s="157"/>
      <c r="N153" s="157"/>
      <c r="O153" s="157"/>
      <c r="P153" s="157"/>
      <c r="Q153" s="157"/>
      <c r="R153" s="157"/>
      <c r="S153" s="157"/>
      <c r="T153" s="158"/>
      <c r="U153" s="168"/>
    </row>
    <row r="154" spans="1:21" ht="12.75" x14ac:dyDescent="0.2">
      <c r="A154" s="200"/>
      <c r="B154" s="196"/>
      <c r="C154" s="171"/>
      <c r="D154" s="187"/>
      <c r="E154" s="187"/>
      <c r="F154" s="188"/>
      <c r="G154" s="184"/>
      <c r="H154" s="151"/>
      <c r="I154" s="151"/>
      <c r="J154" s="151"/>
      <c r="K154" s="151"/>
      <c r="L154" s="156"/>
      <c r="M154" s="157"/>
      <c r="N154" s="157"/>
      <c r="O154" s="157"/>
      <c r="P154" s="157"/>
      <c r="Q154" s="157"/>
      <c r="R154" s="157"/>
      <c r="S154" s="157"/>
      <c r="T154" s="158"/>
      <c r="U154" s="168"/>
    </row>
    <row r="155" spans="1:21" ht="12.75" x14ac:dyDescent="0.2">
      <c r="A155" s="205" t="s">
        <v>539</v>
      </c>
      <c r="B155" s="198"/>
      <c r="C155" s="171"/>
      <c r="D155" s="187"/>
      <c r="E155" s="187"/>
      <c r="F155" s="188"/>
      <c r="G155" s="184"/>
      <c r="H155" s="151"/>
      <c r="I155" s="151"/>
      <c r="J155" s="151"/>
      <c r="K155" s="151"/>
      <c r="L155" s="156"/>
      <c r="M155" s="157"/>
      <c r="N155" s="157"/>
      <c r="O155" s="157"/>
      <c r="P155" s="157"/>
      <c r="Q155" s="157"/>
      <c r="R155" s="157"/>
      <c r="S155" s="157"/>
      <c r="T155" s="158"/>
      <c r="U155" s="168"/>
    </row>
    <row r="156" spans="1:21" ht="12.75" x14ac:dyDescent="0.2">
      <c r="A156" s="197" t="s">
        <v>308</v>
      </c>
      <c r="B156" s="198" t="s">
        <v>615</v>
      </c>
      <c r="C156" s="171">
        <v>1</v>
      </c>
      <c r="D156" s="187"/>
      <c r="E156" s="187"/>
      <c r="F156" s="188"/>
      <c r="G156" s="193" t="s">
        <v>705</v>
      </c>
      <c r="H156" s="151"/>
      <c r="I156" s="151"/>
      <c r="J156" s="151"/>
      <c r="K156" s="151"/>
      <c r="L156" s="156"/>
      <c r="M156" s="157"/>
      <c r="N156" s="157"/>
      <c r="O156" s="157"/>
      <c r="P156" s="157"/>
      <c r="Q156" s="157"/>
      <c r="R156" s="157"/>
      <c r="S156" s="157"/>
      <c r="T156" s="158"/>
      <c r="U156" s="168"/>
    </row>
    <row r="157" spans="1:21" ht="12.75" x14ac:dyDescent="0.2">
      <c r="A157" s="199" t="s">
        <v>309</v>
      </c>
      <c r="B157" s="196" t="s">
        <v>310</v>
      </c>
      <c r="C157" s="171">
        <v>1</v>
      </c>
      <c r="D157" s="187"/>
      <c r="E157" s="187"/>
      <c r="F157" s="188"/>
      <c r="G157" s="194" t="s">
        <v>704</v>
      </c>
      <c r="H157" s="151"/>
      <c r="I157" s="151"/>
      <c r="J157" s="151"/>
      <c r="K157" s="151"/>
      <c r="L157" s="156"/>
      <c r="M157" s="157"/>
      <c r="N157" s="157"/>
      <c r="O157" s="157"/>
      <c r="P157" s="157"/>
      <c r="Q157" s="157"/>
      <c r="R157" s="157"/>
      <c r="S157" s="157"/>
      <c r="T157" s="158"/>
      <c r="U157" s="168"/>
    </row>
    <row r="158" spans="1:21" ht="12.75" x14ac:dyDescent="0.2">
      <c r="A158" s="200"/>
      <c r="B158" s="196"/>
      <c r="C158" s="171"/>
      <c r="D158" s="187"/>
      <c r="E158" s="187"/>
      <c r="F158" s="188"/>
      <c r="G158" s="184"/>
      <c r="H158" s="151"/>
      <c r="I158" s="151"/>
      <c r="J158" s="151"/>
      <c r="K158" s="151"/>
      <c r="L158" s="156"/>
      <c r="M158" s="157"/>
      <c r="N158" s="157"/>
      <c r="O158" s="157"/>
      <c r="P158" s="157"/>
      <c r="Q158" s="157"/>
      <c r="R158" s="157"/>
      <c r="S158" s="157"/>
      <c r="T158" s="158"/>
      <c r="U158" s="168"/>
    </row>
    <row r="159" spans="1:21" ht="12.75" x14ac:dyDescent="0.2">
      <c r="A159" s="206" t="s">
        <v>540</v>
      </c>
      <c r="B159" s="198"/>
      <c r="C159" s="171"/>
      <c r="D159" s="187"/>
      <c r="E159" s="187"/>
      <c r="F159" s="188"/>
      <c r="G159" s="184"/>
      <c r="H159" s="151"/>
      <c r="I159" s="151"/>
      <c r="J159" s="151"/>
      <c r="K159" s="151"/>
      <c r="L159" s="156"/>
      <c r="M159" s="157"/>
      <c r="N159" s="157"/>
      <c r="O159" s="157"/>
      <c r="P159" s="157"/>
      <c r="Q159" s="157"/>
      <c r="R159" s="157"/>
      <c r="S159" s="157"/>
      <c r="T159" s="158"/>
      <c r="U159" s="168"/>
    </row>
    <row r="160" spans="1:21" ht="12.75" x14ac:dyDescent="0.2">
      <c r="A160" s="197" t="s">
        <v>308</v>
      </c>
      <c r="B160" s="198" t="s">
        <v>615</v>
      </c>
      <c r="C160" s="171">
        <v>1</v>
      </c>
      <c r="D160" s="187"/>
      <c r="E160" s="187"/>
      <c r="F160" s="188"/>
      <c r="G160" s="193" t="s">
        <v>705</v>
      </c>
      <c r="H160" s="151"/>
      <c r="I160" s="151"/>
      <c r="J160" s="151"/>
      <c r="K160" s="151"/>
      <c r="L160" s="156"/>
      <c r="M160" s="157"/>
      <c r="N160" s="157"/>
      <c r="O160" s="157"/>
      <c r="P160" s="157"/>
      <c r="Q160" s="157"/>
      <c r="R160" s="157"/>
      <c r="S160" s="157"/>
      <c r="T160" s="158"/>
      <c r="U160" s="168"/>
    </row>
    <row r="161" spans="1:21" ht="12.75" x14ac:dyDescent="0.2">
      <c r="A161" s="199" t="s">
        <v>309</v>
      </c>
      <c r="B161" s="196" t="s">
        <v>310</v>
      </c>
      <c r="C161" s="171">
        <v>1</v>
      </c>
      <c r="D161" s="187"/>
      <c r="E161" s="187"/>
      <c r="F161" s="188"/>
      <c r="G161" s="194" t="s">
        <v>704</v>
      </c>
      <c r="H161" s="151"/>
      <c r="I161" s="151"/>
      <c r="J161" s="151"/>
      <c r="K161" s="151"/>
      <c r="L161" s="156"/>
      <c r="M161" s="157"/>
      <c r="N161" s="157"/>
      <c r="O161" s="157"/>
      <c r="P161" s="157"/>
      <c r="Q161" s="157"/>
      <c r="R161" s="157"/>
      <c r="S161" s="157"/>
      <c r="T161" s="158"/>
      <c r="U161" s="168"/>
    </row>
    <row r="162" spans="1:21" ht="12.75" x14ac:dyDescent="0.2">
      <c r="A162" s="200"/>
      <c r="B162" s="196"/>
      <c r="C162" s="171"/>
      <c r="D162" s="187"/>
      <c r="E162" s="187"/>
      <c r="F162" s="188"/>
      <c r="G162" s="184"/>
      <c r="H162" s="151"/>
      <c r="I162" s="151"/>
      <c r="J162" s="151"/>
      <c r="K162" s="151"/>
      <c r="L162" s="156"/>
      <c r="M162" s="157"/>
      <c r="N162" s="157"/>
      <c r="O162" s="157"/>
      <c r="P162" s="157"/>
      <c r="Q162" s="157"/>
      <c r="R162" s="157"/>
      <c r="S162" s="157"/>
      <c r="T162" s="158"/>
      <c r="U162" s="168"/>
    </row>
    <row r="163" spans="1:21" ht="12.75" x14ac:dyDescent="0.2">
      <c r="A163" s="206" t="s">
        <v>541</v>
      </c>
      <c r="B163" s="198"/>
      <c r="C163" s="171"/>
      <c r="D163" s="187"/>
      <c r="E163" s="187"/>
      <c r="F163" s="188"/>
      <c r="G163" s="184"/>
      <c r="H163" s="151"/>
      <c r="I163" s="151"/>
      <c r="J163" s="151"/>
      <c r="K163" s="151"/>
      <c r="L163" s="156"/>
      <c r="M163" s="157"/>
      <c r="N163" s="157"/>
      <c r="O163" s="157"/>
      <c r="P163" s="157"/>
      <c r="Q163" s="157"/>
      <c r="R163" s="157"/>
      <c r="S163" s="157"/>
      <c r="T163" s="158"/>
      <c r="U163" s="168"/>
    </row>
    <row r="164" spans="1:21" ht="12.75" x14ac:dyDescent="0.2">
      <c r="A164" s="197" t="s">
        <v>308</v>
      </c>
      <c r="B164" s="198" t="s">
        <v>615</v>
      </c>
      <c r="C164" s="171">
        <v>1</v>
      </c>
      <c r="D164" s="187"/>
      <c r="E164" s="187"/>
      <c r="F164" s="188"/>
      <c r="G164" s="193" t="s">
        <v>705</v>
      </c>
      <c r="H164" s="151"/>
      <c r="I164" s="151"/>
      <c r="J164" s="151"/>
      <c r="K164" s="151"/>
      <c r="L164" s="156"/>
      <c r="M164" s="157"/>
      <c r="N164" s="157"/>
      <c r="O164" s="157"/>
      <c r="P164" s="157"/>
      <c r="Q164" s="157"/>
      <c r="R164" s="157"/>
      <c r="S164" s="157"/>
      <c r="T164" s="158"/>
      <c r="U164" s="168"/>
    </row>
    <row r="165" spans="1:21" ht="12.75" x14ac:dyDescent="0.2">
      <c r="A165" s="199" t="s">
        <v>309</v>
      </c>
      <c r="B165" s="196" t="s">
        <v>310</v>
      </c>
      <c r="C165" s="171">
        <v>1</v>
      </c>
      <c r="D165" s="187"/>
      <c r="E165" s="187"/>
      <c r="F165" s="188"/>
      <c r="G165" s="194" t="s">
        <v>704</v>
      </c>
      <c r="H165" s="151"/>
      <c r="I165" s="151"/>
      <c r="J165" s="151"/>
      <c r="K165" s="151"/>
      <c r="L165" s="156"/>
      <c r="M165" s="157"/>
      <c r="N165" s="157"/>
      <c r="O165" s="157"/>
      <c r="P165" s="157"/>
      <c r="Q165" s="157"/>
      <c r="R165" s="157"/>
      <c r="S165" s="157"/>
      <c r="T165" s="158"/>
      <c r="U165" s="168"/>
    </row>
    <row r="166" spans="1:21" ht="12.75" x14ac:dyDescent="0.2">
      <c r="A166" s="200"/>
      <c r="B166" s="196"/>
      <c r="C166" s="171"/>
      <c r="D166" s="187"/>
      <c r="E166" s="187"/>
      <c r="F166" s="188"/>
      <c r="G166" s="184"/>
      <c r="H166" s="151"/>
      <c r="I166" s="151"/>
      <c r="J166" s="151"/>
      <c r="K166" s="151"/>
      <c r="L166" s="156"/>
      <c r="M166" s="157"/>
      <c r="N166" s="157"/>
      <c r="O166" s="157"/>
      <c r="P166" s="157"/>
      <c r="Q166" s="157"/>
      <c r="R166" s="157"/>
      <c r="S166" s="157"/>
      <c r="T166" s="158"/>
      <c r="U166" s="168"/>
    </row>
    <row r="167" spans="1:21" ht="32.25" x14ac:dyDescent="0.2">
      <c r="A167" s="195" t="s">
        <v>542</v>
      </c>
      <c r="B167" s="196" t="s">
        <v>472</v>
      </c>
      <c r="C167" s="171">
        <v>1</v>
      </c>
      <c r="D167" s="187"/>
      <c r="E167" s="187"/>
      <c r="F167" s="188"/>
      <c r="G167" s="193" t="s">
        <v>705</v>
      </c>
      <c r="H167" s="151"/>
      <c r="I167" s="151"/>
      <c r="J167" s="151"/>
      <c r="K167" s="151"/>
      <c r="L167" s="156"/>
      <c r="M167" s="157"/>
      <c r="N167" s="157"/>
      <c r="O167" s="157"/>
      <c r="P167" s="157"/>
      <c r="Q167" s="157"/>
      <c r="R167" s="157"/>
      <c r="S167" s="157"/>
      <c r="T167" s="158"/>
      <c r="U167" s="168"/>
    </row>
    <row r="168" spans="1:21" ht="12.75" x14ac:dyDescent="0.2">
      <c r="A168" s="200"/>
      <c r="B168" s="196"/>
      <c r="C168" s="171"/>
      <c r="D168" s="187"/>
      <c r="E168" s="187"/>
      <c r="F168" s="188"/>
      <c r="G168" s="184"/>
      <c r="H168" s="151"/>
      <c r="I168" s="151"/>
      <c r="J168" s="151"/>
      <c r="K168" s="151"/>
      <c r="L168" s="156"/>
      <c r="M168" s="157"/>
      <c r="N168" s="157"/>
      <c r="O168" s="157"/>
      <c r="P168" s="157"/>
      <c r="Q168" s="157"/>
      <c r="R168" s="157"/>
      <c r="S168" s="157"/>
      <c r="T168" s="158"/>
      <c r="U168" s="168"/>
    </row>
    <row r="169" spans="1:21" ht="21.75" x14ac:dyDescent="0.2">
      <c r="A169" s="195" t="s">
        <v>543</v>
      </c>
      <c r="B169" s="196" t="s">
        <v>311</v>
      </c>
      <c r="C169" s="171">
        <v>1</v>
      </c>
      <c r="D169" s="187"/>
      <c r="E169" s="187"/>
      <c r="F169" s="188"/>
      <c r="G169" s="193" t="s">
        <v>705</v>
      </c>
      <c r="H169" s="151"/>
      <c r="I169" s="151"/>
      <c r="J169" s="151"/>
      <c r="K169" s="151"/>
      <c r="L169" s="156"/>
      <c r="M169" s="157"/>
      <c r="N169" s="157"/>
      <c r="O169" s="157"/>
      <c r="P169" s="157"/>
      <c r="Q169" s="157"/>
      <c r="R169" s="157"/>
      <c r="S169" s="157"/>
      <c r="T169" s="158"/>
      <c r="U169" s="168"/>
    </row>
    <row r="170" spans="1:21" ht="12.75" x14ac:dyDescent="0.2">
      <c r="A170" s="195"/>
      <c r="B170" s="196"/>
      <c r="C170" s="171"/>
      <c r="D170" s="187"/>
      <c r="E170" s="187"/>
      <c r="F170" s="188"/>
      <c r="G170" s="184"/>
      <c r="H170" s="151"/>
      <c r="I170" s="151"/>
      <c r="J170" s="151"/>
      <c r="K170" s="151"/>
      <c r="L170" s="156"/>
      <c r="M170" s="157"/>
      <c r="N170" s="157"/>
      <c r="O170" s="157"/>
      <c r="P170" s="157"/>
      <c r="Q170" s="157"/>
      <c r="R170" s="157"/>
      <c r="S170" s="157"/>
      <c r="T170" s="158"/>
      <c r="U170" s="168"/>
    </row>
    <row r="171" spans="1:21" ht="12.75" x14ac:dyDescent="0.2">
      <c r="A171" s="195" t="s">
        <v>544</v>
      </c>
      <c r="B171" s="196" t="s">
        <v>472</v>
      </c>
      <c r="C171" s="171">
        <v>1</v>
      </c>
      <c r="D171" s="187"/>
      <c r="E171" s="187"/>
      <c r="F171" s="188"/>
      <c r="G171" s="193" t="s">
        <v>705</v>
      </c>
      <c r="H171" s="151"/>
      <c r="I171" s="151"/>
      <c r="J171" s="151"/>
      <c r="K171" s="151"/>
      <c r="L171" s="156"/>
      <c r="M171" s="157"/>
      <c r="N171" s="157"/>
      <c r="O171" s="157"/>
      <c r="P171" s="157"/>
      <c r="Q171" s="157"/>
      <c r="R171" s="157"/>
      <c r="S171" s="157"/>
      <c r="T171" s="158"/>
      <c r="U171" s="168"/>
    </row>
    <row r="172" spans="1:21" ht="12.75" x14ac:dyDescent="0.2">
      <c r="A172" s="195"/>
      <c r="B172" s="196"/>
      <c r="C172" s="171"/>
      <c r="D172" s="187"/>
      <c r="E172" s="187"/>
      <c r="F172" s="188"/>
      <c r="G172" s="184"/>
      <c r="H172" s="151"/>
      <c r="I172" s="151"/>
      <c r="J172" s="151"/>
      <c r="K172" s="151"/>
      <c r="L172" s="156"/>
      <c r="M172" s="157"/>
      <c r="N172" s="157"/>
      <c r="O172" s="157"/>
      <c r="P172" s="157"/>
      <c r="Q172" s="157"/>
      <c r="R172" s="157"/>
      <c r="S172" s="157"/>
      <c r="T172" s="158"/>
      <c r="U172" s="168"/>
    </row>
    <row r="173" spans="1:21" ht="32.25" x14ac:dyDescent="0.2">
      <c r="A173" s="195" t="s">
        <v>312</v>
      </c>
      <c r="B173" s="207"/>
      <c r="C173" s="171"/>
      <c r="D173" s="187"/>
      <c r="E173" s="187"/>
      <c r="F173" s="188"/>
      <c r="G173" s="184"/>
      <c r="H173" s="151"/>
      <c r="I173" s="151"/>
      <c r="J173" s="151"/>
      <c r="K173" s="151"/>
      <c r="L173" s="156"/>
      <c r="M173" s="157"/>
      <c r="N173" s="157"/>
      <c r="O173" s="157"/>
      <c r="P173" s="157"/>
      <c r="Q173" s="157"/>
      <c r="R173" s="157"/>
      <c r="S173" s="157"/>
      <c r="T173" s="158"/>
      <c r="U173" s="168"/>
    </row>
    <row r="174" spans="1:21" ht="12.75" x14ac:dyDescent="0.2">
      <c r="A174" s="208"/>
      <c r="B174" s="196"/>
      <c r="C174" s="171"/>
      <c r="D174" s="187"/>
      <c r="E174" s="187"/>
      <c r="F174" s="188"/>
      <c r="G174" s="184"/>
      <c r="H174" s="151"/>
      <c r="I174" s="151"/>
      <c r="J174" s="151"/>
      <c r="K174" s="151"/>
      <c r="L174" s="156"/>
      <c r="M174" s="157"/>
      <c r="N174" s="157"/>
      <c r="O174" s="157"/>
      <c r="P174" s="157"/>
      <c r="Q174" s="157"/>
      <c r="R174" s="157"/>
      <c r="S174" s="157"/>
      <c r="T174" s="158"/>
      <c r="U174" s="168"/>
    </row>
    <row r="175" spans="1:21" ht="12.75" x14ac:dyDescent="0.2">
      <c r="A175" s="195" t="s">
        <v>545</v>
      </c>
      <c r="B175" s="196" t="s">
        <v>478</v>
      </c>
      <c r="C175" s="171">
        <v>1</v>
      </c>
      <c r="D175" s="187"/>
      <c r="E175" s="187"/>
      <c r="F175" s="188"/>
      <c r="G175" s="193" t="s">
        <v>705</v>
      </c>
      <c r="H175" s="151"/>
      <c r="I175" s="151"/>
      <c r="J175" s="151"/>
      <c r="K175" s="151"/>
      <c r="L175" s="156"/>
      <c r="M175" s="157"/>
      <c r="N175" s="157"/>
      <c r="O175" s="157"/>
      <c r="P175" s="157"/>
      <c r="Q175" s="157"/>
      <c r="R175" s="157"/>
      <c r="S175" s="157"/>
      <c r="T175" s="158"/>
      <c r="U175" s="168"/>
    </row>
    <row r="176" spans="1:21" ht="12.75" x14ac:dyDescent="0.2">
      <c r="A176" s="195"/>
      <c r="B176" s="196" t="s">
        <v>310</v>
      </c>
      <c r="C176" s="171">
        <v>1</v>
      </c>
      <c r="D176" s="187"/>
      <c r="E176" s="187"/>
      <c r="F176" s="188"/>
      <c r="G176" s="194" t="s">
        <v>704</v>
      </c>
      <c r="H176" s="151"/>
      <c r="I176" s="151"/>
      <c r="J176" s="151"/>
      <c r="K176" s="151"/>
      <c r="L176" s="156"/>
      <c r="M176" s="157"/>
      <c r="N176" s="157"/>
      <c r="O176" s="157"/>
      <c r="P176" s="157"/>
      <c r="Q176" s="157"/>
      <c r="R176" s="157"/>
      <c r="S176" s="157"/>
      <c r="T176" s="158"/>
      <c r="U176" s="168"/>
    </row>
    <row r="177" spans="1:21" ht="12.75" x14ac:dyDescent="0.2">
      <c r="A177" s="195"/>
      <c r="B177" s="202"/>
      <c r="C177" s="171"/>
      <c r="D177" s="187"/>
      <c r="E177" s="187"/>
      <c r="F177" s="188"/>
      <c r="G177" s="184"/>
      <c r="H177" s="151"/>
      <c r="I177" s="151"/>
      <c r="J177" s="151"/>
      <c r="K177" s="151"/>
      <c r="L177" s="156"/>
      <c r="M177" s="157"/>
      <c r="N177" s="157"/>
      <c r="O177" s="157"/>
      <c r="P177" s="157"/>
      <c r="Q177" s="157"/>
      <c r="R177" s="157"/>
      <c r="S177" s="157"/>
      <c r="T177" s="158"/>
      <c r="U177" s="168"/>
    </row>
    <row r="178" spans="1:21" ht="21.75" x14ac:dyDescent="0.2">
      <c r="A178" s="208" t="s">
        <v>313</v>
      </c>
      <c r="B178" s="196" t="s">
        <v>478</v>
      </c>
      <c r="C178" s="171">
        <v>1</v>
      </c>
      <c r="D178" s="187"/>
      <c r="E178" s="187"/>
      <c r="F178" s="188"/>
      <c r="G178" s="193" t="s">
        <v>705</v>
      </c>
      <c r="H178" s="151"/>
      <c r="I178" s="151"/>
      <c r="J178" s="151"/>
      <c r="K178" s="151"/>
      <c r="L178" s="156"/>
      <c r="M178" s="157"/>
      <c r="N178" s="157"/>
      <c r="O178" s="157"/>
      <c r="P178" s="157"/>
      <c r="Q178" s="157"/>
      <c r="R178" s="157"/>
      <c r="S178" s="157"/>
      <c r="T178" s="158"/>
      <c r="U178" s="168"/>
    </row>
    <row r="179" spans="1:21" ht="12.75" x14ac:dyDescent="0.2">
      <c r="A179" s="208"/>
      <c r="B179" s="196" t="s">
        <v>310</v>
      </c>
      <c r="C179" s="171">
        <v>1</v>
      </c>
      <c r="D179" s="187"/>
      <c r="E179" s="187"/>
      <c r="F179" s="188"/>
      <c r="G179" s="194" t="s">
        <v>704</v>
      </c>
      <c r="H179" s="151"/>
      <c r="I179" s="151"/>
      <c r="J179" s="151"/>
      <c r="K179" s="151"/>
      <c r="L179" s="156"/>
      <c r="M179" s="157"/>
      <c r="N179" s="157"/>
      <c r="O179" s="157"/>
      <c r="P179" s="157"/>
      <c r="Q179" s="157"/>
      <c r="R179" s="157"/>
      <c r="S179" s="157"/>
      <c r="T179" s="158"/>
      <c r="U179" s="168"/>
    </row>
    <row r="180" spans="1:21" ht="12.75" x14ac:dyDescent="0.2">
      <c r="A180" s="208"/>
      <c r="B180" s="196"/>
      <c r="C180" s="171"/>
      <c r="D180" s="187"/>
      <c r="E180" s="187"/>
      <c r="F180" s="188"/>
      <c r="G180" s="184"/>
      <c r="H180" s="151"/>
      <c r="I180" s="151"/>
      <c r="J180" s="151"/>
      <c r="K180" s="151"/>
      <c r="L180" s="156"/>
      <c r="M180" s="157"/>
      <c r="N180" s="157"/>
      <c r="O180" s="157"/>
      <c r="P180" s="157"/>
      <c r="Q180" s="157"/>
      <c r="R180" s="157"/>
      <c r="S180" s="157"/>
      <c r="T180" s="158"/>
      <c r="U180" s="168"/>
    </row>
    <row r="181" spans="1:21" ht="21.75" x14ac:dyDescent="0.2">
      <c r="A181" s="195" t="s">
        <v>546</v>
      </c>
      <c r="B181" s="196" t="s">
        <v>472</v>
      </c>
      <c r="C181" s="171">
        <v>1</v>
      </c>
      <c r="D181" s="187"/>
      <c r="E181" s="187"/>
      <c r="F181" s="188"/>
      <c r="G181" s="193" t="s">
        <v>705</v>
      </c>
      <c r="H181" s="151"/>
      <c r="I181" s="151"/>
      <c r="J181" s="151"/>
      <c r="K181" s="151"/>
      <c r="L181" s="156"/>
      <c r="M181" s="157"/>
      <c r="N181" s="157"/>
      <c r="O181" s="157"/>
      <c r="P181" s="157"/>
      <c r="Q181" s="157"/>
      <c r="R181" s="157"/>
      <c r="S181" s="157"/>
      <c r="T181" s="158"/>
      <c r="U181" s="168"/>
    </row>
    <row r="182" spans="1:21" ht="12.75" x14ac:dyDescent="0.2">
      <c r="A182" s="195"/>
      <c r="B182" s="196" t="s">
        <v>310</v>
      </c>
      <c r="C182" s="171">
        <v>1</v>
      </c>
      <c r="D182" s="187"/>
      <c r="E182" s="187"/>
      <c r="F182" s="188"/>
      <c r="G182" s="194" t="s">
        <v>704</v>
      </c>
      <c r="H182" s="151"/>
      <c r="I182" s="151"/>
      <c r="J182" s="151"/>
      <c r="K182" s="151"/>
      <c r="L182" s="156"/>
      <c r="M182" s="157"/>
      <c r="N182" s="157"/>
      <c r="O182" s="157"/>
      <c r="P182" s="157"/>
      <c r="Q182" s="157"/>
      <c r="R182" s="157"/>
      <c r="S182" s="157"/>
      <c r="T182" s="158"/>
      <c r="U182" s="168"/>
    </row>
    <row r="183" spans="1:21" ht="12.75" x14ac:dyDescent="0.2">
      <c r="A183" s="208"/>
      <c r="B183" s="196"/>
      <c r="C183" s="171"/>
      <c r="D183" s="187"/>
      <c r="E183" s="187"/>
      <c r="F183" s="188"/>
      <c r="G183" s="184"/>
      <c r="H183" s="151"/>
      <c r="I183" s="151"/>
      <c r="J183" s="151"/>
      <c r="K183" s="151"/>
      <c r="L183" s="156"/>
      <c r="M183" s="157"/>
      <c r="N183" s="157"/>
      <c r="O183" s="157"/>
      <c r="P183" s="157"/>
      <c r="Q183" s="157"/>
      <c r="R183" s="157"/>
      <c r="S183" s="157"/>
      <c r="T183" s="158"/>
      <c r="U183" s="168"/>
    </row>
    <row r="184" spans="1:21" ht="21.75" x14ac:dyDescent="0.2">
      <c r="A184" s="195" t="s">
        <v>547</v>
      </c>
      <c r="B184" s="196" t="s">
        <v>472</v>
      </c>
      <c r="C184" s="171">
        <v>1</v>
      </c>
      <c r="D184" s="187"/>
      <c r="E184" s="187"/>
      <c r="F184" s="188"/>
      <c r="G184" s="193" t="s">
        <v>705</v>
      </c>
      <c r="H184" s="151"/>
      <c r="I184" s="151"/>
      <c r="J184" s="151"/>
      <c r="K184" s="151"/>
      <c r="L184" s="156"/>
      <c r="M184" s="157"/>
      <c r="N184" s="157"/>
      <c r="O184" s="157"/>
      <c r="P184" s="157"/>
      <c r="Q184" s="157"/>
      <c r="R184" s="157"/>
      <c r="S184" s="157"/>
      <c r="T184" s="158"/>
      <c r="U184" s="168"/>
    </row>
    <row r="185" spans="1:21" ht="12.75" x14ac:dyDescent="0.2">
      <c r="A185" s="195"/>
      <c r="B185" s="196" t="s">
        <v>310</v>
      </c>
      <c r="C185" s="171">
        <v>1</v>
      </c>
      <c r="D185" s="187"/>
      <c r="E185" s="187"/>
      <c r="F185" s="188"/>
      <c r="G185" s="194" t="s">
        <v>704</v>
      </c>
      <c r="H185" s="151"/>
      <c r="I185" s="151"/>
      <c r="J185" s="151"/>
      <c r="K185" s="151"/>
      <c r="L185" s="156"/>
      <c r="M185" s="157"/>
      <c r="N185" s="157"/>
      <c r="O185" s="157"/>
      <c r="P185" s="157"/>
      <c r="Q185" s="157"/>
      <c r="R185" s="157"/>
      <c r="S185" s="157"/>
      <c r="T185" s="158"/>
      <c r="U185" s="168"/>
    </row>
    <row r="186" spans="1:21" ht="12.75" x14ac:dyDescent="0.2">
      <c r="A186" s="195"/>
      <c r="B186" s="196"/>
      <c r="C186" s="209"/>
      <c r="D186" s="187"/>
      <c r="E186" s="187"/>
      <c r="F186" s="188"/>
      <c r="G186" s="184"/>
      <c r="H186" s="151"/>
      <c r="I186" s="151"/>
      <c r="J186" s="151"/>
      <c r="K186" s="151"/>
      <c r="L186" s="156"/>
      <c r="M186" s="157"/>
      <c r="N186" s="157"/>
      <c r="O186" s="157"/>
      <c r="P186" s="157"/>
      <c r="Q186" s="157"/>
      <c r="R186" s="157"/>
      <c r="S186" s="157"/>
      <c r="T186" s="158"/>
      <c r="U186" s="168"/>
    </row>
    <row r="187" spans="1:21" ht="42.75" x14ac:dyDescent="0.2">
      <c r="A187" s="179" t="s">
        <v>674</v>
      </c>
      <c r="B187" s="186"/>
      <c r="C187" s="171"/>
      <c r="D187" s="183"/>
      <c r="E187" s="183"/>
      <c r="F187" s="183"/>
      <c r="G187" s="184"/>
      <c r="H187" s="151"/>
      <c r="I187" s="151"/>
      <c r="J187" s="151"/>
      <c r="K187" s="151"/>
      <c r="L187" s="156"/>
      <c r="M187" s="157"/>
      <c r="N187" s="157"/>
      <c r="O187" s="157"/>
      <c r="P187" s="157"/>
      <c r="Q187" s="157"/>
      <c r="R187" s="157"/>
      <c r="S187" s="157"/>
      <c r="T187" s="158"/>
      <c r="U187" s="168"/>
    </row>
    <row r="188" spans="1:21" ht="12.75" x14ac:dyDescent="0.2">
      <c r="A188" s="169" t="s">
        <v>347</v>
      </c>
      <c r="B188" s="170" t="s">
        <v>45</v>
      </c>
      <c r="C188" s="171">
        <v>1</v>
      </c>
      <c r="D188" s="181"/>
      <c r="E188" s="181"/>
      <c r="F188" s="181"/>
      <c r="G188" s="184" t="s">
        <v>705</v>
      </c>
      <c r="H188" s="151"/>
      <c r="I188" s="151"/>
      <c r="J188" s="151"/>
      <c r="K188" s="151"/>
      <c r="L188" s="156"/>
      <c r="M188" s="157"/>
      <c r="N188" s="157"/>
      <c r="O188" s="157"/>
      <c r="P188" s="157"/>
      <c r="Q188" s="157"/>
      <c r="R188" s="157"/>
      <c r="S188" s="157"/>
      <c r="T188" s="158"/>
      <c r="U188" s="168"/>
    </row>
    <row r="189" spans="1:21" ht="12.75" x14ac:dyDescent="0.2">
      <c r="A189" s="169" t="s">
        <v>548</v>
      </c>
      <c r="B189" s="170" t="s">
        <v>45</v>
      </c>
      <c r="C189" s="171">
        <v>1</v>
      </c>
      <c r="D189" s="187"/>
      <c r="E189" s="187"/>
      <c r="F189" s="187"/>
      <c r="G189" s="184" t="s">
        <v>705</v>
      </c>
      <c r="H189" s="151"/>
      <c r="I189" s="151"/>
      <c r="J189" s="151"/>
      <c r="K189" s="151"/>
      <c r="L189" s="156"/>
      <c r="M189" s="157"/>
      <c r="N189" s="157"/>
      <c r="O189" s="157"/>
      <c r="P189" s="157"/>
      <c r="Q189" s="157"/>
      <c r="R189" s="157"/>
      <c r="S189" s="157"/>
      <c r="T189" s="158"/>
      <c r="U189" s="168"/>
    </row>
    <row r="190" spans="1:21" ht="12.75" x14ac:dyDescent="0.2">
      <c r="A190" s="169" t="s">
        <v>549</v>
      </c>
      <c r="B190" s="170" t="s">
        <v>45</v>
      </c>
      <c r="C190" s="171">
        <v>1</v>
      </c>
      <c r="D190" s="187"/>
      <c r="E190" s="187"/>
      <c r="F190" s="187"/>
      <c r="G190" s="184" t="s">
        <v>705</v>
      </c>
      <c r="H190" s="151"/>
      <c r="I190" s="151"/>
      <c r="J190" s="151"/>
      <c r="K190" s="151"/>
      <c r="L190" s="156"/>
      <c r="M190" s="157"/>
      <c r="N190" s="157"/>
      <c r="O190" s="157"/>
      <c r="P190" s="157"/>
      <c r="Q190" s="157"/>
      <c r="R190" s="157"/>
      <c r="S190" s="157"/>
      <c r="T190" s="158"/>
      <c r="U190" s="168"/>
    </row>
    <row r="191" spans="1:21" ht="12.75" x14ac:dyDescent="0.2">
      <c r="A191" s="169" t="s">
        <v>302</v>
      </c>
      <c r="B191" s="170" t="s">
        <v>45</v>
      </c>
      <c r="C191" s="171">
        <v>1</v>
      </c>
      <c r="D191" s="187"/>
      <c r="E191" s="187"/>
      <c r="F191" s="187"/>
      <c r="G191" s="184" t="s">
        <v>705</v>
      </c>
      <c r="H191" s="151"/>
      <c r="I191" s="151"/>
      <c r="J191" s="151"/>
      <c r="K191" s="151"/>
      <c r="L191" s="156"/>
      <c r="M191" s="157"/>
      <c r="N191" s="157"/>
      <c r="O191" s="157"/>
      <c r="P191" s="157"/>
      <c r="Q191" s="157"/>
      <c r="R191" s="157"/>
      <c r="S191" s="157"/>
      <c r="T191" s="158"/>
      <c r="U191" s="168"/>
    </row>
    <row r="192" spans="1:21" ht="12.75" x14ac:dyDescent="0.2">
      <c r="A192" s="169" t="s">
        <v>348</v>
      </c>
      <c r="B192" s="170" t="s">
        <v>45</v>
      </c>
      <c r="C192" s="171">
        <v>1</v>
      </c>
      <c r="D192" s="187"/>
      <c r="E192" s="187"/>
      <c r="F192" s="187"/>
      <c r="G192" s="184" t="s">
        <v>705</v>
      </c>
      <c r="H192" s="151"/>
      <c r="I192" s="151"/>
      <c r="J192" s="151"/>
      <c r="K192" s="151"/>
      <c r="L192" s="156"/>
      <c r="M192" s="157"/>
      <c r="N192" s="157"/>
      <c r="O192" s="157"/>
      <c r="P192" s="157"/>
      <c r="Q192" s="157"/>
      <c r="R192" s="157"/>
      <c r="S192" s="157"/>
      <c r="T192" s="158"/>
      <c r="U192" s="168"/>
    </row>
    <row r="193" spans="1:21" ht="12.75" x14ac:dyDescent="0.2">
      <c r="A193" s="169" t="s">
        <v>349</v>
      </c>
      <c r="B193" s="170" t="s">
        <v>45</v>
      </c>
      <c r="C193" s="171">
        <v>1</v>
      </c>
      <c r="D193" s="188"/>
      <c r="E193" s="188"/>
      <c r="F193" s="187"/>
      <c r="G193" s="184" t="s">
        <v>705</v>
      </c>
      <c r="H193" s="151"/>
      <c r="I193" s="151"/>
      <c r="J193" s="151"/>
      <c r="K193" s="151"/>
      <c r="L193" s="156"/>
      <c r="M193" s="157"/>
      <c r="N193" s="157"/>
      <c r="O193" s="157"/>
      <c r="P193" s="157"/>
      <c r="Q193" s="157"/>
      <c r="R193" s="157"/>
      <c r="S193" s="157"/>
      <c r="T193" s="158"/>
      <c r="U193" s="168"/>
    </row>
    <row r="194" spans="1:21" ht="21" x14ac:dyDescent="0.2">
      <c r="A194" s="169" t="s">
        <v>550</v>
      </c>
      <c r="B194" s="170" t="s">
        <v>45</v>
      </c>
      <c r="C194" s="171">
        <v>1</v>
      </c>
      <c r="D194" s="181"/>
      <c r="E194" s="181"/>
      <c r="F194" s="187"/>
      <c r="G194" s="184" t="s">
        <v>705</v>
      </c>
      <c r="H194" s="151"/>
      <c r="I194" s="151"/>
      <c r="J194" s="151"/>
      <c r="K194" s="151"/>
      <c r="L194" s="156"/>
      <c r="M194" s="157"/>
      <c r="N194" s="157"/>
      <c r="O194" s="157"/>
      <c r="P194" s="157"/>
      <c r="Q194" s="157"/>
      <c r="R194" s="157"/>
      <c r="S194" s="157"/>
      <c r="T194" s="158"/>
      <c r="U194" s="168"/>
    </row>
    <row r="195" spans="1:21" ht="12.75" x14ac:dyDescent="0.2">
      <c r="A195" s="169" t="s">
        <v>350</v>
      </c>
      <c r="B195" s="170" t="s">
        <v>45</v>
      </c>
      <c r="C195" s="171">
        <v>1</v>
      </c>
      <c r="D195" s="187"/>
      <c r="E195" s="187"/>
      <c r="F195" s="187"/>
      <c r="G195" s="184" t="s">
        <v>705</v>
      </c>
      <c r="H195" s="151"/>
      <c r="I195" s="151"/>
      <c r="J195" s="151"/>
      <c r="K195" s="151"/>
      <c r="L195" s="156"/>
      <c r="M195" s="157"/>
      <c r="N195" s="157"/>
      <c r="O195" s="157"/>
      <c r="P195" s="157"/>
      <c r="Q195" s="157"/>
      <c r="R195" s="157"/>
      <c r="S195" s="157"/>
      <c r="T195" s="158"/>
      <c r="U195" s="168"/>
    </row>
    <row r="196" spans="1:21" ht="12.75" x14ac:dyDescent="0.2">
      <c r="A196" s="169" t="s">
        <v>351</v>
      </c>
      <c r="B196" s="170" t="s">
        <v>46</v>
      </c>
      <c r="C196" s="171">
        <v>1</v>
      </c>
      <c r="D196" s="188"/>
      <c r="E196" s="188"/>
      <c r="F196" s="188"/>
      <c r="G196" s="184" t="s">
        <v>705</v>
      </c>
      <c r="H196" s="151"/>
      <c r="I196" s="151"/>
      <c r="J196" s="151"/>
      <c r="K196" s="151"/>
      <c r="L196" s="156"/>
      <c r="M196" s="157"/>
      <c r="N196" s="157"/>
      <c r="O196" s="157"/>
      <c r="P196" s="157"/>
      <c r="Q196" s="157"/>
      <c r="R196" s="157"/>
      <c r="S196" s="157"/>
      <c r="T196" s="158"/>
      <c r="U196" s="168"/>
    </row>
    <row r="197" spans="1:21" ht="12.75" x14ac:dyDescent="0.2">
      <c r="A197" s="169" t="s">
        <v>303</v>
      </c>
      <c r="B197" s="170" t="s">
        <v>335</v>
      </c>
      <c r="C197" s="171">
        <v>1</v>
      </c>
      <c r="D197" s="210"/>
      <c r="E197" s="187"/>
      <c r="F197" s="188"/>
      <c r="G197" s="184" t="s">
        <v>705</v>
      </c>
      <c r="H197" s="151"/>
      <c r="I197" s="151"/>
      <c r="J197" s="151"/>
      <c r="K197" s="151"/>
      <c r="L197" s="156"/>
      <c r="M197" s="157"/>
      <c r="N197" s="157"/>
      <c r="O197" s="157"/>
      <c r="P197" s="157"/>
      <c r="Q197" s="157"/>
      <c r="R197" s="157"/>
      <c r="S197" s="157"/>
      <c r="T197" s="158"/>
      <c r="U197" s="168"/>
    </row>
    <row r="198" spans="1:21" ht="12.75" x14ac:dyDescent="0.2">
      <c r="A198" s="169" t="s">
        <v>352</v>
      </c>
      <c r="B198" s="170" t="s">
        <v>47</v>
      </c>
      <c r="C198" s="171">
        <v>1</v>
      </c>
      <c r="D198" s="211"/>
      <c r="E198" s="181"/>
      <c r="F198" s="183"/>
      <c r="G198" s="184" t="s">
        <v>705</v>
      </c>
      <c r="H198" s="151"/>
      <c r="I198" s="151"/>
      <c r="J198" s="151"/>
      <c r="K198" s="151"/>
      <c r="L198" s="156"/>
      <c r="M198" s="157"/>
      <c r="N198" s="157"/>
      <c r="O198" s="157"/>
      <c r="P198" s="157"/>
      <c r="Q198" s="157"/>
      <c r="R198" s="157"/>
      <c r="S198" s="157"/>
      <c r="T198" s="158"/>
      <c r="U198" s="168"/>
    </row>
    <row r="199" spans="1:21" ht="12.75" x14ac:dyDescent="0.2">
      <c r="A199" s="169" t="s">
        <v>353</v>
      </c>
      <c r="B199" s="170" t="s">
        <v>45</v>
      </c>
      <c r="C199" s="171">
        <v>1</v>
      </c>
      <c r="D199" s="210"/>
      <c r="E199" s="187"/>
      <c r="F199" s="183"/>
      <c r="G199" s="184" t="s">
        <v>705</v>
      </c>
      <c r="H199" s="151"/>
      <c r="I199" s="151"/>
      <c r="J199" s="151"/>
      <c r="K199" s="151"/>
      <c r="L199" s="156"/>
      <c r="M199" s="157"/>
      <c r="N199" s="157"/>
      <c r="O199" s="157"/>
      <c r="P199" s="157"/>
      <c r="Q199" s="157"/>
      <c r="R199" s="157"/>
      <c r="S199" s="157"/>
      <c r="T199" s="158"/>
      <c r="U199" s="168"/>
    </row>
    <row r="200" spans="1:21" ht="12.75" x14ac:dyDescent="0.2">
      <c r="A200" s="169" t="s">
        <v>354</v>
      </c>
      <c r="B200" s="170" t="s">
        <v>45</v>
      </c>
      <c r="C200" s="171">
        <v>1</v>
      </c>
      <c r="D200" s="210"/>
      <c r="E200" s="187"/>
      <c r="F200" s="183"/>
      <c r="G200" s="184" t="s">
        <v>705</v>
      </c>
      <c r="H200" s="151"/>
      <c r="I200" s="151"/>
      <c r="J200" s="151"/>
      <c r="K200" s="151"/>
      <c r="L200" s="156"/>
      <c r="M200" s="157"/>
      <c r="N200" s="157"/>
      <c r="O200" s="157"/>
      <c r="P200" s="157"/>
      <c r="Q200" s="157"/>
      <c r="R200" s="157"/>
      <c r="S200" s="157"/>
      <c r="T200" s="158"/>
      <c r="U200" s="168"/>
    </row>
    <row r="201" spans="1:21" ht="21" x14ac:dyDescent="0.2">
      <c r="A201" s="169" t="s">
        <v>551</v>
      </c>
      <c r="B201" s="170" t="s">
        <v>48</v>
      </c>
      <c r="C201" s="171">
        <v>1</v>
      </c>
      <c r="D201" s="210"/>
      <c r="E201" s="187"/>
      <c r="F201" s="183"/>
      <c r="G201" s="184" t="s">
        <v>705</v>
      </c>
      <c r="H201" s="151"/>
      <c r="I201" s="151"/>
      <c r="J201" s="151"/>
      <c r="K201" s="151"/>
      <c r="L201" s="156"/>
      <c r="M201" s="157"/>
      <c r="N201" s="157"/>
      <c r="O201" s="157"/>
      <c r="P201" s="157"/>
      <c r="Q201" s="157"/>
      <c r="R201" s="157"/>
      <c r="S201" s="157"/>
      <c r="T201" s="158"/>
      <c r="U201" s="168"/>
    </row>
    <row r="202" spans="1:21" ht="21" x14ac:dyDescent="0.2">
      <c r="A202" s="169" t="s">
        <v>355</v>
      </c>
      <c r="B202" s="170" t="s">
        <v>45</v>
      </c>
      <c r="C202" s="171">
        <v>1</v>
      </c>
      <c r="D202" s="210"/>
      <c r="E202" s="187"/>
      <c r="F202" s="183"/>
      <c r="G202" s="184" t="s">
        <v>705</v>
      </c>
      <c r="H202" s="151"/>
      <c r="I202" s="151"/>
      <c r="J202" s="151"/>
      <c r="K202" s="151"/>
      <c r="L202" s="156"/>
      <c r="M202" s="157"/>
      <c r="N202" s="157"/>
      <c r="O202" s="157"/>
      <c r="P202" s="157"/>
      <c r="Q202" s="157"/>
      <c r="R202" s="157"/>
      <c r="S202" s="157"/>
      <c r="T202" s="158"/>
      <c r="U202" s="168"/>
    </row>
    <row r="203" spans="1:21" ht="21.75" x14ac:dyDescent="0.2">
      <c r="A203" s="212" t="s">
        <v>356</v>
      </c>
      <c r="B203" s="170" t="s">
        <v>45</v>
      </c>
      <c r="C203" s="171">
        <v>1</v>
      </c>
      <c r="D203" s="210"/>
      <c r="E203" s="187"/>
      <c r="F203" s="183"/>
      <c r="G203" s="184" t="s">
        <v>705</v>
      </c>
      <c r="H203" s="151"/>
      <c r="I203" s="151"/>
      <c r="J203" s="151"/>
      <c r="K203" s="151"/>
      <c r="L203" s="156"/>
      <c r="M203" s="157"/>
      <c r="N203" s="157"/>
      <c r="O203" s="157"/>
      <c r="P203" s="157"/>
      <c r="Q203" s="157"/>
      <c r="R203" s="157"/>
      <c r="S203" s="157"/>
      <c r="T203" s="158"/>
      <c r="U203" s="168"/>
    </row>
    <row r="204" spans="1:21" ht="12.75" x14ac:dyDescent="0.2">
      <c r="A204" s="169" t="s">
        <v>357</v>
      </c>
      <c r="B204" s="170" t="s">
        <v>45</v>
      </c>
      <c r="C204" s="171">
        <v>1</v>
      </c>
      <c r="D204" s="210"/>
      <c r="E204" s="187"/>
      <c r="F204" s="183"/>
      <c r="G204" s="184" t="s">
        <v>705</v>
      </c>
      <c r="H204" s="151"/>
      <c r="I204" s="151"/>
      <c r="J204" s="151"/>
      <c r="K204" s="151"/>
      <c r="L204" s="156"/>
      <c r="M204" s="157"/>
      <c r="N204" s="157"/>
      <c r="O204" s="157"/>
      <c r="P204" s="157"/>
      <c r="Q204" s="157"/>
      <c r="R204" s="157"/>
      <c r="S204" s="157"/>
      <c r="T204" s="158"/>
      <c r="U204" s="168"/>
    </row>
    <row r="205" spans="1:21" ht="12.75" x14ac:dyDescent="0.2">
      <c r="A205" s="169" t="s">
        <v>358</v>
      </c>
      <c r="B205" s="170" t="s">
        <v>45</v>
      </c>
      <c r="C205" s="171">
        <v>1</v>
      </c>
      <c r="D205" s="210"/>
      <c r="E205" s="187"/>
      <c r="F205" s="183"/>
      <c r="G205" s="184" t="s">
        <v>705</v>
      </c>
      <c r="H205" s="151"/>
      <c r="I205" s="151"/>
      <c r="J205" s="151"/>
      <c r="K205" s="151"/>
      <c r="L205" s="156"/>
      <c r="M205" s="157"/>
      <c r="N205" s="157"/>
      <c r="O205" s="157"/>
      <c r="P205" s="157"/>
      <c r="Q205" s="157"/>
      <c r="R205" s="157"/>
      <c r="S205" s="157"/>
      <c r="T205" s="158"/>
      <c r="U205" s="168"/>
    </row>
    <row r="206" spans="1:21" ht="21" x14ac:dyDescent="0.2">
      <c r="A206" s="169" t="s">
        <v>359</v>
      </c>
      <c r="B206" s="170" t="s">
        <v>45</v>
      </c>
      <c r="C206" s="171">
        <v>1</v>
      </c>
      <c r="D206" s="210"/>
      <c r="E206" s="187"/>
      <c r="F206" s="183"/>
      <c r="G206" s="184" t="s">
        <v>705</v>
      </c>
      <c r="H206" s="151"/>
      <c r="I206" s="151"/>
      <c r="J206" s="151"/>
      <c r="K206" s="151"/>
      <c r="L206" s="156"/>
      <c r="M206" s="157"/>
      <c r="N206" s="157"/>
      <c r="O206" s="157"/>
      <c r="P206" s="157"/>
      <c r="Q206" s="157"/>
      <c r="R206" s="157"/>
      <c r="S206" s="157"/>
      <c r="T206" s="158"/>
      <c r="U206" s="168"/>
    </row>
    <row r="207" spans="1:21" ht="21" x14ac:dyDescent="0.2">
      <c r="A207" s="169" t="s">
        <v>360</v>
      </c>
      <c r="B207" s="170" t="s">
        <v>49</v>
      </c>
      <c r="C207" s="171">
        <v>1</v>
      </c>
      <c r="D207" s="210"/>
      <c r="E207" s="187"/>
      <c r="F207" s="183"/>
      <c r="G207" s="184" t="s">
        <v>705</v>
      </c>
      <c r="H207" s="151"/>
      <c r="I207" s="151"/>
      <c r="J207" s="151"/>
      <c r="K207" s="151"/>
      <c r="L207" s="156"/>
      <c r="M207" s="157"/>
      <c r="N207" s="157"/>
      <c r="O207" s="157"/>
      <c r="P207" s="157"/>
      <c r="Q207" s="157"/>
      <c r="R207" s="157"/>
      <c r="S207" s="157"/>
      <c r="T207" s="158"/>
      <c r="U207" s="168"/>
    </row>
    <row r="208" spans="1:21" ht="21" x14ac:dyDescent="0.2">
      <c r="A208" s="175" t="s">
        <v>361</v>
      </c>
      <c r="B208" s="170" t="s">
        <v>49</v>
      </c>
      <c r="C208" s="171">
        <v>1</v>
      </c>
      <c r="D208" s="210"/>
      <c r="E208" s="187"/>
      <c r="F208" s="183"/>
      <c r="G208" s="184" t="s">
        <v>705</v>
      </c>
      <c r="H208" s="151"/>
      <c r="I208" s="151"/>
      <c r="J208" s="151"/>
      <c r="K208" s="151"/>
      <c r="L208" s="156"/>
      <c r="M208" s="157"/>
      <c r="N208" s="157"/>
      <c r="O208" s="157"/>
      <c r="P208" s="157"/>
      <c r="Q208" s="157"/>
      <c r="R208" s="157"/>
      <c r="S208" s="157"/>
      <c r="T208" s="158"/>
      <c r="U208" s="168"/>
    </row>
    <row r="209" spans="1:21" ht="12.75" x14ac:dyDescent="0.2">
      <c r="A209" s="169" t="s">
        <v>362</v>
      </c>
      <c r="B209" s="170" t="s">
        <v>49</v>
      </c>
      <c r="C209" s="171">
        <v>1</v>
      </c>
      <c r="D209" s="210"/>
      <c r="E209" s="187"/>
      <c r="F209" s="183"/>
      <c r="G209" s="184" t="s">
        <v>705</v>
      </c>
      <c r="H209" s="151"/>
      <c r="I209" s="151"/>
      <c r="J209" s="151"/>
      <c r="K209" s="151"/>
      <c r="L209" s="156"/>
      <c r="M209" s="157"/>
      <c r="N209" s="157"/>
      <c r="O209" s="157"/>
      <c r="P209" s="157"/>
      <c r="Q209" s="157"/>
      <c r="R209" s="157"/>
      <c r="S209" s="157"/>
      <c r="T209" s="158"/>
      <c r="U209" s="168"/>
    </row>
    <row r="210" spans="1:21" ht="12.75" x14ac:dyDescent="0.2">
      <c r="A210" s="169" t="s">
        <v>363</v>
      </c>
      <c r="B210" s="170" t="s">
        <v>49</v>
      </c>
      <c r="C210" s="171">
        <v>1</v>
      </c>
      <c r="D210" s="210"/>
      <c r="E210" s="187"/>
      <c r="F210" s="183"/>
      <c r="G210" s="184" t="s">
        <v>705</v>
      </c>
      <c r="H210" s="151"/>
      <c r="I210" s="151"/>
      <c r="J210" s="151"/>
      <c r="K210" s="151"/>
      <c r="L210" s="156"/>
      <c r="M210" s="157"/>
      <c r="N210" s="157"/>
      <c r="O210" s="157"/>
      <c r="P210" s="157"/>
      <c r="Q210" s="157"/>
      <c r="R210" s="157"/>
      <c r="S210" s="157"/>
      <c r="T210" s="158"/>
      <c r="U210" s="168"/>
    </row>
    <row r="211" spans="1:21" ht="12.75" x14ac:dyDescent="0.2">
      <c r="A211" s="169" t="s">
        <v>364</v>
      </c>
      <c r="B211" s="170" t="s">
        <v>49</v>
      </c>
      <c r="C211" s="171">
        <v>1</v>
      </c>
      <c r="D211" s="210"/>
      <c r="E211" s="187"/>
      <c r="F211" s="183"/>
      <c r="G211" s="184" t="s">
        <v>705</v>
      </c>
      <c r="H211" s="151"/>
      <c r="I211" s="151"/>
      <c r="J211" s="151"/>
      <c r="K211" s="151"/>
      <c r="L211" s="156"/>
      <c r="M211" s="157"/>
      <c r="N211" s="157"/>
      <c r="O211" s="157"/>
      <c r="P211" s="157"/>
      <c r="Q211" s="157"/>
      <c r="R211" s="157"/>
      <c r="S211" s="157"/>
      <c r="T211" s="158"/>
      <c r="U211" s="168"/>
    </row>
    <row r="212" spans="1:21" ht="12.75" x14ac:dyDescent="0.2">
      <c r="A212" s="169" t="s">
        <v>365</v>
      </c>
      <c r="B212" s="170" t="s">
        <v>49</v>
      </c>
      <c r="C212" s="171">
        <v>1</v>
      </c>
      <c r="D212" s="210"/>
      <c r="E212" s="187"/>
      <c r="F212" s="183"/>
      <c r="G212" s="184" t="s">
        <v>705</v>
      </c>
      <c r="H212" s="151"/>
      <c r="I212" s="151"/>
      <c r="J212" s="151"/>
      <c r="K212" s="151"/>
      <c r="L212" s="156"/>
      <c r="M212" s="157"/>
      <c r="N212" s="157"/>
      <c r="O212" s="157"/>
      <c r="P212" s="157"/>
      <c r="Q212" s="157"/>
      <c r="R212" s="157"/>
      <c r="S212" s="157"/>
      <c r="T212" s="158"/>
      <c r="U212" s="168"/>
    </row>
    <row r="213" spans="1:21" ht="12.75" x14ac:dyDescent="0.2">
      <c r="A213" s="169" t="s">
        <v>366</v>
      </c>
      <c r="B213" s="170" t="s">
        <v>49</v>
      </c>
      <c r="C213" s="171">
        <v>1</v>
      </c>
      <c r="D213" s="210"/>
      <c r="E213" s="187"/>
      <c r="F213" s="183"/>
      <c r="G213" s="184" t="s">
        <v>705</v>
      </c>
      <c r="H213" s="151"/>
      <c r="I213" s="151"/>
      <c r="J213" s="151"/>
      <c r="K213" s="151"/>
      <c r="L213" s="156"/>
      <c r="M213" s="157"/>
      <c r="N213" s="157"/>
      <c r="O213" s="157"/>
      <c r="P213" s="157"/>
      <c r="Q213" s="157"/>
      <c r="R213" s="157"/>
      <c r="S213" s="157"/>
      <c r="T213" s="158"/>
      <c r="U213" s="168"/>
    </row>
    <row r="214" spans="1:21" ht="21" x14ac:dyDescent="0.2">
      <c r="A214" s="169" t="s">
        <v>50</v>
      </c>
      <c r="B214" s="170" t="s">
        <v>49</v>
      </c>
      <c r="C214" s="171">
        <v>1</v>
      </c>
      <c r="D214" s="210"/>
      <c r="E214" s="187"/>
      <c r="F214" s="183"/>
      <c r="G214" s="184" t="s">
        <v>705</v>
      </c>
      <c r="H214" s="151"/>
      <c r="I214" s="151"/>
      <c r="J214" s="151"/>
      <c r="K214" s="151"/>
      <c r="L214" s="156"/>
      <c r="M214" s="157"/>
      <c r="N214" s="157"/>
      <c r="O214" s="157"/>
      <c r="P214" s="157"/>
      <c r="Q214" s="157"/>
      <c r="R214" s="157"/>
      <c r="S214" s="157"/>
      <c r="T214" s="158"/>
      <c r="U214" s="168"/>
    </row>
    <row r="215" spans="1:21" ht="31.5" x14ac:dyDescent="0.2">
      <c r="A215" s="169" t="s">
        <v>552</v>
      </c>
      <c r="B215" s="170" t="s">
        <v>49</v>
      </c>
      <c r="C215" s="171">
        <v>1</v>
      </c>
      <c r="D215" s="210"/>
      <c r="E215" s="187"/>
      <c r="F215" s="183"/>
      <c r="G215" s="184" t="s">
        <v>705</v>
      </c>
      <c r="H215" s="151"/>
      <c r="I215" s="151"/>
      <c r="J215" s="151"/>
      <c r="K215" s="151"/>
      <c r="L215" s="156"/>
      <c r="M215" s="157"/>
      <c r="N215" s="157"/>
      <c r="O215" s="157"/>
      <c r="P215" s="157"/>
      <c r="Q215" s="157"/>
      <c r="R215" s="157"/>
      <c r="S215" s="157"/>
      <c r="T215" s="158"/>
      <c r="U215" s="168"/>
    </row>
    <row r="216" spans="1:21" ht="21" x14ac:dyDescent="0.2">
      <c r="A216" s="169" t="s">
        <v>685</v>
      </c>
      <c r="B216" s="170" t="s">
        <v>49</v>
      </c>
      <c r="C216" s="171">
        <v>1</v>
      </c>
      <c r="D216" s="210"/>
      <c r="E216" s="187"/>
      <c r="F216" s="183"/>
      <c r="G216" s="184" t="s">
        <v>705</v>
      </c>
      <c r="H216" s="151"/>
      <c r="I216" s="151"/>
      <c r="J216" s="151"/>
      <c r="K216" s="151"/>
      <c r="L216" s="156"/>
      <c r="M216" s="157"/>
      <c r="N216" s="157"/>
      <c r="O216" s="157"/>
      <c r="P216" s="157"/>
      <c r="Q216" s="157"/>
      <c r="R216" s="157"/>
      <c r="S216" s="157"/>
      <c r="T216" s="158"/>
      <c r="U216" s="168"/>
    </row>
    <row r="217" spans="1:21" ht="12.75" x14ac:dyDescent="0.2">
      <c r="A217" s="169" t="s">
        <v>367</v>
      </c>
      <c r="B217" s="170" t="s">
        <v>49</v>
      </c>
      <c r="C217" s="171">
        <v>1</v>
      </c>
      <c r="D217" s="210"/>
      <c r="E217" s="187"/>
      <c r="F217" s="183"/>
      <c r="G217" s="184" t="s">
        <v>705</v>
      </c>
      <c r="H217" s="151"/>
      <c r="I217" s="151"/>
      <c r="J217" s="151"/>
      <c r="K217" s="151"/>
      <c r="L217" s="156"/>
      <c r="M217" s="157"/>
      <c r="N217" s="157"/>
      <c r="O217" s="157"/>
      <c r="P217" s="157"/>
      <c r="Q217" s="157"/>
      <c r="R217" s="157"/>
      <c r="S217" s="157"/>
      <c r="T217" s="158"/>
      <c r="U217" s="168"/>
    </row>
    <row r="218" spans="1:21" ht="21" x14ac:dyDescent="0.2">
      <c r="A218" s="169" t="s">
        <v>368</v>
      </c>
      <c r="B218" s="170" t="s">
        <v>51</v>
      </c>
      <c r="C218" s="171">
        <v>1</v>
      </c>
      <c r="D218" s="210"/>
      <c r="E218" s="187"/>
      <c r="F218" s="183"/>
      <c r="G218" s="184" t="s">
        <v>705</v>
      </c>
      <c r="H218" s="151"/>
      <c r="I218" s="151"/>
      <c r="J218" s="151"/>
      <c r="K218" s="151"/>
      <c r="L218" s="156"/>
      <c r="M218" s="157"/>
      <c r="N218" s="157"/>
      <c r="O218" s="157"/>
      <c r="P218" s="157"/>
      <c r="Q218" s="157"/>
      <c r="R218" s="157"/>
      <c r="S218" s="157"/>
      <c r="T218" s="158"/>
      <c r="U218" s="168"/>
    </row>
    <row r="219" spans="1:21" ht="12.75" x14ac:dyDescent="0.2">
      <c r="A219" s="169" t="s">
        <v>369</v>
      </c>
      <c r="B219" s="170" t="s">
        <v>52</v>
      </c>
      <c r="C219" s="171">
        <v>1</v>
      </c>
      <c r="D219" s="210"/>
      <c r="E219" s="187"/>
      <c r="F219" s="183"/>
      <c r="G219" s="184" t="s">
        <v>705</v>
      </c>
      <c r="H219" s="151"/>
      <c r="I219" s="151"/>
      <c r="J219" s="151"/>
      <c r="K219" s="151"/>
      <c r="L219" s="156"/>
      <c r="M219" s="157"/>
      <c r="N219" s="157"/>
      <c r="O219" s="157"/>
      <c r="P219" s="157"/>
      <c r="Q219" s="157"/>
      <c r="R219" s="157"/>
      <c r="S219" s="157"/>
      <c r="T219" s="158"/>
      <c r="U219" s="168"/>
    </row>
    <row r="220" spans="1:21" ht="12.75" x14ac:dyDescent="0.2">
      <c r="A220" s="169" t="s">
        <v>370</v>
      </c>
      <c r="B220" s="170" t="s">
        <v>53</v>
      </c>
      <c r="C220" s="171">
        <v>1</v>
      </c>
      <c r="D220" s="210"/>
      <c r="E220" s="187"/>
      <c r="F220" s="183"/>
      <c r="G220" s="184" t="s">
        <v>705</v>
      </c>
      <c r="H220" s="151"/>
      <c r="I220" s="151"/>
      <c r="J220" s="151"/>
      <c r="K220" s="151"/>
      <c r="L220" s="156"/>
      <c r="M220" s="157"/>
      <c r="N220" s="157"/>
      <c r="O220" s="157"/>
      <c r="P220" s="157"/>
      <c r="Q220" s="157"/>
      <c r="R220" s="157"/>
      <c r="S220" s="157"/>
      <c r="T220" s="158"/>
      <c r="U220" s="168"/>
    </row>
    <row r="221" spans="1:21" ht="12.75" x14ac:dyDescent="0.2">
      <c r="A221" s="169" t="s">
        <v>371</v>
      </c>
      <c r="B221" s="170" t="s">
        <v>54</v>
      </c>
      <c r="C221" s="171">
        <v>1</v>
      </c>
      <c r="D221" s="210"/>
      <c r="E221" s="187"/>
      <c r="F221" s="183"/>
      <c r="G221" s="184" t="s">
        <v>705</v>
      </c>
      <c r="H221" s="151"/>
      <c r="I221" s="151"/>
      <c r="J221" s="151"/>
      <c r="K221" s="151"/>
      <c r="L221" s="156"/>
      <c r="M221" s="157"/>
      <c r="N221" s="157"/>
      <c r="O221" s="157"/>
      <c r="P221" s="157"/>
      <c r="Q221" s="157"/>
      <c r="R221" s="157"/>
      <c r="S221" s="157"/>
      <c r="T221" s="158"/>
      <c r="U221" s="168"/>
    </row>
    <row r="222" spans="1:21" ht="12.75" x14ac:dyDescent="0.2">
      <c r="A222" s="169" t="s">
        <v>372</v>
      </c>
      <c r="B222" s="170" t="s">
        <v>45</v>
      </c>
      <c r="C222" s="171">
        <v>1</v>
      </c>
      <c r="D222" s="210"/>
      <c r="E222" s="187"/>
      <c r="F222" s="183"/>
      <c r="G222" s="184" t="s">
        <v>705</v>
      </c>
      <c r="H222" s="151"/>
      <c r="I222" s="151"/>
      <c r="J222" s="151"/>
      <c r="K222" s="151"/>
      <c r="L222" s="156"/>
      <c r="M222" s="157"/>
      <c r="N222" s="157"/>
      <c r="O222" s="157"/>
      <c r="P222" s="157"/>
      <c r="Q222" s="157"/>
      <c r="R222" s="157"/>
      <c r="S222" s="157"/>
      <c r="T222" s="158"/>
      <c r="U222" s="168"/>
    </row>
    <row r="223" spans="1:21" ht="12.75" x14ac:dyDescent="0.2">
      <c r="A223" s="169" t="s">
        <v>373</v>
      </c>
      <c r="B223" s="170" t="s">
        <v>45</v>
      </c>
      <c r="C223" s="171">
        <v>1</v>
      </c>
      <c r="D223" s="210"/>
      <c r="E223" s="187"/>
      <c r="F223" s="183"/>
      <c r="G223" s="184" t="s">
        <v>705</v>
      </c>
      <c r="H223" s="151"/>
      <c r="I223" s="151"/>
      <c r="J223" s="151"/>
      <c r="K223" s="151"/>
      <c r="L223" s="156"/>
      <c r="M223" s="157"/>
      <c r="N223" s="157"/>
      <c r="O223" s="157"/>
      <c r="P223" s="157"/>
      <c r="Q223" s="157"/>
      <c r="R223" s="157"/>
      <c r="S223" s="157"/>
      <c r="T223" s="158"/>
      <c r="U223" s="168"/>
    </row>
    <row r="224" spans="1:21" ht="12.75" x14ac:dyDescent="0.2">
      <c r="A224" s="169" t="s">
        <v>374</v>
      </c>
      <c r="B224" s="170" t="s">
        <v>45</v>
      </c>
      <c r="C224" s="171">
        <v>1</v>
      </c>
      <c r="D224" s="210"/>
      <c r="E224" s="187"/>
      <c r="F224" s="183"/>
      <c r="G224" s="184" t="s">
        <v>705</v>
      </c>
      <c r="H224" s="151"/>
      <c r="I224" s="151"/>
      <c r="J224" s="151"/>
      <c r="K224" s="151"/>
      <c r="L224" s="156"/>
      <c r="M224" s="157"/>
      <c r="N224" s="157"/>
      <c r="O224" s="157"/>
      <c r="P224" s="157"/>
      <c r="Q224" s="157"/>
      <c r="R224" s="157"/>
      <c r="S224" s="157"/>
      <c r="T224" s="158"/>
      <c r="U224" s="168"/>
    </row>
    <row r="225" spans="1:21" ht="12.75" x14ac:dyDescent="0.2">
      <c r="A225" s="169" t="s">
        <v>375</v>
      </c>
      <c r="B225" s="170" t="s">
        <v>45</v>
      </c>
      <c r="C225" s="171">
        <v>1</v>
      </c>
      <c r="D225" s="210"/>
      <c r="E225" s="187"/>
      <c r="F225" s="183"/>
      <c r="G225" s="184" t="s">
        <v>705</v>
      </c>
      <c r="H225" s="151"/>
      <c r="I225" s="151"/>
      <c r="J225" s="151"/>
      <c r="K225" s="151"/>
      <c r="L225" s="156"/>
      <c r="M225" s="157"/>
      <c r="N225" s="157"/>
      <c r="O225" s="157"/>
      <c r="P225" s="157"/>
      <c r="Q225" s="157"/>
      <c r="R225" s="157"/>
      <c r="S225" s="157"/>
      <c r="T225" s="158"/>
      <c r="U225" s="168"/>
    </row>
    <row r="226" spans="1:21" ht="12.75" x14ac:dyDescent="0.2">
      <c r="A226" s="169" t="s">
        <v>376</v>
      </c>
      <c r="B226" s="170" t="s">
        <v>45</v>
      </c>
      <c r="C226" s="171">
        <v>1</v>
      </c>
      <c r="D226" s="210"/>
      <c r="E226" s="187"/>
      <c r="F226" s="183"/>
      <c r="G226" s="184" t="s">
        <v>705</v>
      </c>
      <c r="H226" s="151"/>
      <c r="I226" s="151"/>
      <c r="J226" s="151"/>
      <c r="K226" s="151"/>
      <c r="L226" s="156"/>
      <c r="M226" s="157"/>
      <c r="N226" s="157"/>
      <c r="O226" s="157"/>
      <c r="P226" s="157"/>
      <c r="Q226" s="157"/>
      <c r="R226" s="157"/>
      <c r="S226" s="157"/>
      <c r="T226" s="158"/>
      <c r="U226" s="168"/>
    </row>
    <row r="227" spans="1:21" ht="21" x14ac:dyDescent="0.2">
      <c r="A227" s="169" t="s">
        <v>377</v>
      </c>
      <c r="B227" s="170" t="s">
        <v>45</v>
      </c>
      <c r="C227" s="171">
        <v>1</v>
      </c>
      <c r="D227" s="210"/>
      <c r="E227" s="187"/>
      <c r="F227" s="183"/>
      <c r="G227" s="184" t="s">
        <v>705</v>
      </c>
      <c r="H227" s="151"/>
      <c r="I227" s="151"/>
      <c r="J227" s="151"/>
      <c r="K227" s="151"/>
      <c r="L227" s="156"/>
      <c r="M227" s="157"/>
      <c r="N227" s="157"/>
      <c r="O227" s="157"/>
      <c r="P227" s="157"/>
      <c r="Q227" s="157"/>
      <c r="R227" s="157"/>
      <c r="S227" s="157"/>
      <c r="T227" s="158"/>
      <c r="U227" s="168"/>
    </row>
    <row r="228" spans="1:21" ht="12.75" x14ac:dyDescent="0.2">
      <c r="A228" s="169" t="s">
        <v>378</v>
      </c>
      <c r="B228" s="170" t="s">
        <v>335</v>
      </c>
      <c r="C228" s="171">
        <v>1</v>
      </c>
      <c r="D228" s="210"/>
      <c r="E228" s="187"/>
      <c r="F228" s="183"/>
      <c r="G228" s="184" t="s">
        <v>705</v>
      </c>
      <c r="H228" s="151"/>
      <c r="I228" s="151"/>
      <c r="J228" s="151"/>
      <c r="K228" s="151"/>
      <c r="L228" s="156"/>
      <c r="M228" s="157"/>
      <c r="N228" s="157"/>
      <c r="O228" s="157"/>
      <c r="P228" s="157"/>
      <c r="Q228" s="157"/>
      <c r="R228" s="157"/>
      <c r="S228" s="157"/>
      <c r="T228" s="158"/>
      <c r="U228" s="168"/>
    </row>
    <row r="229" spans="1:21" ht="21" x14ac:dyDescent="0.2">
      <c r="A229" s="169" t="s">
        <v>379</v>
      </c>
      <c r="B229" s="170" t="s">
        <v>52</v>
      </c>
      <c r="C229" s="171">
        <v>1</v>
      </c>
      <c r="D229" s="210"/>
      <c r="E229" s="187"/>
      <c r="F229" s="183"/>
      <c r="G229" s="184" t="s">
        <v>705</v>
      </c>
      <c r="H229" s="151"/>
      <c r="I229" s="151"/>
      <c r="J229" s="151"/>
      <c r="K229" s="151"/>
      <c r="L229" s="156"/>
      <c r="M229" s="157"/>
      <c r="N229" s="157"/>
      <c r="O229" s="157"/>
      <c r="P229" s="157"/>
      <c r="Q229" s="157"/>
      <c r="R229" s="157"/>
      <c r="S229" s="157"/>
      <c r="T229" s="158"/>
      <c r="U229" s="168"/>
    </row>
    <row r="230" spans="1:21" ht="12.75" x14ac:dyDescent="0.2">
      <c r="A230" s="169" t="s">
        <v>386</v>
      </c>
      <c r="B230" s="170" t="s">
        <v>52</v>
      </c>
      <c r="C230" s="171">
        <v>1</v>
      </c>
      <c r="D230" s="210"/>
      <c r="E230" s="187"/>
      <c r="F230" s="183"/>
      <c r="G230" s="184" t="s">
        <v>705</v>
      </c>
      <c r="H230" s="151"/>
      <c r="I230" s="151"/>
      <c r="J230" s="151"/>
      <c r="K230" s="151"/>
      <c r="L230" s="156"/>
      <c r="M230" s="157"/>
      <c r="N230" s="157"/>
      <c r="O230" s="157"/>
      <c r="P230" s="157"/>
      <c r="Q230" s="157"/>
      <c r="R230" s="157"/>
      <c r="S230" s="157"/>
      <c r="T230" s="158"/>
      <c r="U230" s="168"/>
    </row>
    <row r="231" spans="1:21" ht="12.75" x14ac:dyDescent="0.2">
      <c r="A231" s="169" t="s">
        <v>387</v>
      </c>
      <c r="B231" s="170" t="s">
        <v>45</v>
      </c>
      <c r="C231" s="171">
        <v>1</v>
      </c>
      <c r="D231" s="210"/>
      <c r="E231" s="187"/>
      <c r="F231" s="183"/>
      <c r="G231" s="184" t="s">
        <v>705</v>
      </c>
      <c r="H231" s="151"/>
      <c r="I231" s="151"/>
      <c r="J231" s="151"/>
      <c r="K231" s="151"/>
      <c r="L231" s="156"/>
      <c r="M231" s="157"/>
      <c r="N231" s="157"/>
      <c r="O231" s="157"/>
      <c r="P231" s="157"/>
      <c r="Q231" s="157"/>
      <c r="R231" s="157"/>
      <c r="S231" s="157"/>
      <c r="T231" s="158"/>
      <c r="U231" s="168"/>
    </row>
    <row r="232" spans="1:21" ht="12.75" x14ac:dyDescent="0.2">
      <c r="A232" s="169" t="s">
        <v>388</v>
      </c>
      <c r="B232" s="170" t="s">
        <v>55</v>
      </c>
      <c r="C232" s="171">
        <v>1</v>
      </c>
      <c r="D232" s="210"/>
      <c r="E232" s="187"/>
      <c r="F232" s="183"/>
      <c r="G232" s="184" t="s">
        <v>705</v>
      </c>
      <c r="H232" s="151"/>
      <c r="I232" s="151"/>
      <c r="J232" s="151"/>
      <c r="K232" s="151"/>
      <c r="L232" s="156"/>
      <c r="M232" s="157"/>
      <c r="N232" s="157"/>
      <c r="O232" s="157"/>
      <c r="P232" s="157"/>
      <c r="Q232" s="157"/>
      <c r="R232" s="157"/>
      <c r="S232" s="157"/>
      <c r="T232" s="158"/>
      <c r="U232" s="168"/>
    </row>
    <row r="233" spans="1:21" ht="21" x14ac:dyDescent="0.2">
      <c r="A233" s="169" t="s">
        <v>553</v>
      </c>
      <c r="B233" s="170" t="s">
        <v>55</v>
      </c>
      <c r="C233" s="171">
        <v>1</v>
      </c>
      <c r="D233" s="210"/>
      <c r="E233" s="187"/>
      <c r="F233" s="183"/>
      <c r="G233" s="184" t="s">
        <v>705</v>
      </c>
      <c r="H233" s="151"/>
      <c r="I233" s="151"/>
      <c r="J233" s="151"/>
      <c r="K233" s="151"/>
      <c r="L233" s="156"/>
      <c r="M233" s="157"/>
      <c r="N233" s="157"/>
      <c r="O233" s="157"/>
      <c r="P233" s="157"/>
      <c r="Q233" s="157"/>
      <c r="R233" s="157"/>
      <c r="S233" s="157"/>
      <c r="T233" s="158"/>
      <c r="U233" s="168"/>
    </row>
    <row r="234" spans="1:21" ht="21" x14ac:dyDescent="0.2">
      <c r="A234" s="169" t="s">
        <v>389</v>
      </c>
      <c r="B234" s="170" t="s">
        <v>55</v>
      </c>
      <c r="C234" s="171">
        <v>1</v>
      </c>
      <c r="D234" s="210"/>
      <c r="E234" s="187"/>
      <c r="F234" s="183"/>
      <c r="G234" s="184" t="s">
        <v>705</v>
      </c>
      <c r="H234" s="151"/>
      <c r="I234" s="151"/>
      <c r="J234" s="151"/>
      <c r="K234" s="151"/>
      <c r="L234" s="156"/>
      <c r="M234" s="157"/>
      <c r="N234" s="157"/>
      <c r="O234" s="157"/>
      <c r="P234" s="157"/>
      <c r="Q234" s="157"/>
      <c r="R234" s="157"/>
      <c r="S234" s="157"/>
      <c r="T234" s="158"/>
      <c r="U234" s="168"/>
    </row>
    <row r="235" spans="1:21" ht="21" x14ac:dyDescent="0.2">
      <c r="A235" s="169" t="s">
        <v>390</v>
      </c>
      <c r="B235" s="170" t="s">
        <v>55</v>
      </c>
      <c r="C235" s="171">
        <v>1</v>
      </c>
      <c r="D235" s="210"/>
      <c r="E235" s="187"/>
      <c r="F235" s="183"/>
      <c r="G235" s="184" t="s">
        <v>705</v>
      </c>
      <c r="H235" s="151"/>
      <c r="I235" s="151"/>
      <c r="J235" s="151"/>
      <c r="K235" s="151"/>
      <c r="L235" s="156"/>
      <c r="M235" s="157"/>
      <c r="N235" s="157"/>
      <c r="O235" s="157"/>
      <c r="P235" s="157"/>
      <c r="Q235" s="157"/>
      <c r="R235" s="157"/>
      <c r="S235" s="157"/>
      <c r="T235" s="158"/>
      <c r="U235" s="168"/>
    </row>
    <row r="236" spans="1:21" ht="12.75" x14ac:dyDescent="0.2">
      <c r="A236" s="169" t="s">
        <v>391</v>
      </c>
      <c r="B236" s="170" t="s">
        <v>45</v>
      </c>
      <c r="C236" s="171">
        <v>1</v>
      </c>
      <c r="D236" s="210"/>
      <c r="E236" s="187"/>
      <c r="F236" s="183"/>
      <c r="G236" s="184" t="s">
        <v>705</v>
      </c>
      <c r="H236" s="151"/>
      <c r="I236" s="151"/>
      <c r="J236" s="151"/>
      <c r="K236" s="151"/>
      <c r="L236" s="156"/>
      <c r="M236" s="157"/>
      <c r="N236" s="157"/>
      <c r="O236" s="157"/>
      <c r="P236" s="157"/>
      <c r="Q236" s="157"/>
      <c r="R236" s="157"/>
      <c r="S236" s="157"/>
      <c r="T236" s="158"/>
      <c r="U236" s="168"/>
    </row>
    <row r="237" spans="1:21" ht="12.75" x14ac:dyDescent="0.2">
      <c r="A237" s="169" t="s">
        <v>392</v>
      </c>
      <c r="B237" s="170" t="s">
        <v>45</v>
      </c>
      <c r="C237" s="171">
        <v>1</v>
      </c>
      <c r="D237" s="210"/>
      <c r="E237" s="187"/>
      <c r="F237" s="183"/>
      <c r="G237" s="184" t="s">
        <v>705</v>
      </c>
      <c r="H237" s="151"/>
      <c r="I237" s="151"/>
      <c r="J237" s="151"/>
      <c r="K237" s="151"/>
      <c r="L237" s="156"/>
      <c r="M237" s="157"/>
      <c r="N237" s="157"/>
      <c r="O237" s="157"/>
      <c r="P237" s="157"/>
      <c r="Q237" s="157"/>
      <c r="R237" s="157"/>
      <c r="S237" s="157"/>
      <c r="T237" s="158"/>
      <c r="U237" s="168"/>
    </row>
    <row r="238" spans="1:21" ht="12.75" x14ac:dyDescent="0.2">
      <c r="A238" s="169" t="s">
        <v>393</v>
      </c>
      <c r="B238" s="170" t="s">
        <v>478</v>
      </c>
      <c r="C238" s="171">
        <v>1</v>
      </c>
      <c r="D238" s="210"/>
      <c r="E238" s="187"/>
      <c r="F238" s="183"/>
      <c r="G238" s="184" t="s">
        <v>705</v>
      </c>
      <c r="H238" s="151"/>
      <c r="I238" s="151"/>
      <c r="J238" s="151"/>
      <c r="K238" s="151"/>
      <c r="L238" s="156"/>
      <c r="M238" s="157"/>
      <c r="N238" s="157"/>
      <c r="O238" s="157"/>
      <c r="P238" s="157"/>
      <c r="Q238" s="157"/>
      <c r="R238" s="157"/>
      <c r="S238" s="157"/>
      <c r="T238" s="158"/>
      <c r="U238" s="168"/>
    </row>
    <row r="239" spans="1:21" ht="12.75" x14ac:dyDescent="0.2">
      <c r="A239" s="169" t="s">
        <v>394</v>
      </c>
      <c r="B239" s="170" t="s">
        <v>478</v>
      </c>
      <c r="C239" s="171">
        <v>1</v>
      </c>
      <c r="D239" s="210"/>
      <c r="E239" s="187"/>
      <c r="F239" s="183"/>
      <c r="G239" s="184" t="s">
        <v>705</v>
      </c>
      <c r="H239" s="151"/>
      <c r="I239" s="151"/>
      <c r="J239" s="151"/>
      <c r="K239" s="151"/>
      <c r="L239" s="156"/>
      <c r="M239" s="157"/>
      <c r="N239" s="157"/>
      <c r="O239" s="157"/>
      <c r="P239" s="157"/>
      <c r="Q239" s="157"/>
      <c r="R239" s="157"/>
      <c r="S239" s="157"/>
      <c r="T239" s="158"/>
      <c r="U239" s="168"/>
    </row>
    <row r="240" spans="1:21" ht="12.75" x14ac:dyDescent="0.2">
      <c r="A240" s="169" t="s">
        <v>395</v>
      </c>
      <c r="B240" s="170" t="s">
        <v>52</v>
      </c>
      <c r="C240" s="171">
        <v>1</v>
      </c>
      <c r="D240" s="210"/>
      <c r="E240" s="187"/>
      <c r="F240" s="183"/>
      <c r="G240" s="184" t="s">
        <v>705</v>
      </c>
      <c r="H240" s="151"/>
      <c r="I240" s="151"/>
      <c r="J240" s="151"/>
      <c r="K240" s="151"/>
      <c r="L240" s="156"/>
      <c r="M240" s="157"/>
      <c r="N240" s="157"/>
      <c r="O240" s="157"/>
      <c r="P240" s="157"/>
      <c r="Q240" s="157"/>
      <c r="R240" s="157"/>
      <c r="S240" s="157"/>
      <c r="T240" s="158"/>
      <c r="U240" s="168"/>
    </row>
    <row r="241" spans="1:21" ht="21" x14ac:dyDescent="0.2">
      <c r="A241" s="169" t="s">
        <v>396</v>
      </c>
      <c r="B241" s="170" t="s">
        <v>52</v>
      </c>
      <c r="C241" s="171">
        <v>1</v>
      </c>
      <c r="D241" s="210"/>
      <c r="E241" s="187"/>
      <c r="F241" s="183"/>
      <c r="G241" s="184" t="s">
        <v>705</v>
      </c>
      <c r="H241" s="151"/>
      <c r="I241" s="151"/>
      <c r="J241" s="151"/>
      <c r="K241" s="151"/>
      <c r="L241" s="156"/>
      <c r="M241" s="157"/>
      <c r="N241" s="157"/>
      <c r="O241" s="157"/>
      <c r="P241" s="157"/>
      <c r="Q241" s="157"/>
      <c r="R241" s="157"/>
      <c r="S241" s="157"/>
      <c r="T241" s="158"/>
      <c r="U241" s="168"/>
    </row>
    <row r="242" spans="1:21" ht="12.75" x14ac:dyDescent="0.2">
      <c r="A242" s="169" t="s">
        <v>397</v>
      </c>
      <c r="B242" s="170" t="s">
        <v>52</v>
      </c>
      <c r="C242" s="171">
        <v>1</v>
      </c>
      <c r="D242" s="210"/>
      <c r="E242" s="187"/>
      <c r="F242" s="183"/>
      <c r="G242" s="184" t="s">
        <v>705</v>
      </c>
      <c r="H242" s="151"/>
      <c r="I242" s="151"/>
      <c r="J242" s="151"/>
      <c r="K242" s="151"/>
      <c r="L242" s="156"/>
      <c r="M242" s="157"/>
      <c r="N242" s="157"/>
      <c r="O242" s="157"/>
      <c r="P242" s="157"/>
      <c r="Q242" s="157"/>
      <c r="R242" s="157"/>
      <c r="S242" s="157"/>
      <c r="T242" s="158"/>
      <c r="U242" s="168"/>
    </row>
    <row r="243" spans="1:21" ht="12.75" x14ac:dyDescent="0.2">
      <c r="A243" s="169" t="s">
        <v>398</v>
      </c>
      <c r="B243" s="170" t="s">
        <v>52</v>
      </c>
      <c r="C243" s="171">
        <v>1</v>
      </c>
      <c r="D243" s="210"/>
      <c r="E243" s="187"/>
      <c r="F243" s="183"/>
      <c r="G243" s="184" t="s">
        <v>705</v>
      </c>
      <c r="H243" s="151"/>
      <c r="I243" s="151"/>
      <c r="J243" s="151"/>
      <c r="K243" s="151"/>
      <c r="L243" s="156"/>
      <c r="M243" s="157"/>
      <c r="N243" s="157"/>
      <c r="O243" s="157"/>
      <c r="P243" s="157"/>
      <c r="Q243" s="157"/>
      <c r="R243" s="157"/>
      <c r="S243" s="157"/>
      <c r="T243" s="158"/>
      <c r="U243" s="168"/>
    </row>
    <row r="244" spans="1:21" ht="21" x14ac:dyDescent="0.2">
      <c r="A244" s="169" t="s">
        <v>399</v>
      </c>
      <c r="B244" s="170" t="s">
        <v>325</v>
      </c>
      <c r="C244" s="171">
        <v>1</v>
      </c>
      <c r="D244" s="210"/>
      <c r="E244" s="187"/>
      <c r="F244" s="183"/>
      <c r="G244" s="184" t="s">
        <v>705</v>
      </c>
      <c r="H244" s="151"/>
      <c r="I244" s="151"/>
      <c r="J244" s="151"/>
      <c r="K244" s="151"/>
      <c r="L244" s="156"/>
      <c r="M244" s="157"/>
      <c r="N244" s="157"/>
      <c r="O244" s="157"/>
      <c r="P244" s="157"/>
      <c r="Q244" s="157"/>
      <c r="R244" s="157"/>
      <c r="S244" s="157"/>
      <c r="T244" s="158"/>
      <c r="U244" s="168"/>
    </row>
    <row r="245" spans="1:21" ht="12.75" x14ac:dyDescent="0.2">
      <c r="A245" s="169" t="s">
        <v>400</v>
      </c>
      <c r="B245" s="170" t="s">
        <v>478</v>
      </c>
      <c r="C245" s="171">
        <v>1</v>
      </c>
      <c r="D245" s="210"/>
      <c r="E245" s="187"/>
      <c r="F245" s="183"/>
      <c r="G245" s="184" t="s">
        <v>705</v>
      </c>
      <c r="H245" s="151"/>
      <c r="I245" s="151"/>
      <c r="J245" s="151"/>
      <c r="K245" s="151"/>
      <c r="L245" s="156"/>
      <c r="M245" s="157"/>
      <c r="N245" s="157"/>
      <c r="O245" s="157"/>
      <c r="P245" s="157"/>
      <c r="Q245" s="157"/>
      <c r="R245" s="157"/>
      <c r="S245" s="157"/>
      <c r="T245" s="158"/>
      <c r="U245" s="168"/>
    </row>
    <row r="246" spans="1:21" ht="12.75" x14ac:dyDescent="0.2">
      <c r="A246" s="169" t="s">
        <v>401</v>
      </c>
      <c r="B246" s="170" t="s">
        <v>52</v>
      </c>
      <c r="C246" s="171">
        <v>1</v>
      </c>
      <c r="D246" s="210"/>
      <c r="E246" s="187"/>
      <c r="F246" s="183"/>
      <c r="G246" s="184" t="s">
        <v>705</v>
      </c>
      <c r="H246" s="151"/>
      <c r="I246" s="151"/>
      <c r="J246" s="151"/>
      <c r="K246" s="151"/>
      <c r="L246" s="156"/>
      <c r="M246" s="157"/>
      <c r="N246" s="157"/>
      <c r="O246" s="157"/>
      <c r="P246" s="157"/>
      <c r="Q246" s="157"/>
      <c r="R246" s="157"/>
      <c r="S246" s="157"/>
      <c r="T246" s="158"/>
      <c r="U246" s="168"/>
    </row>
    <row r="247" spans="1:21" ht="12.75" x14ac:dyDescent="0.2">
      <c r="A247" s="169" t="s">
        <v>402</v>
      </c>
      <c r="B247" s="170" t="s">
        <v>478</v>
      </c>
      <c r="C247" s="171">
        <v>1</v>
      </c>
      <c r="D247" s="210"/>
      <c r="E247" s="187"/>
      <c r="F247" s="183"/>
      <c r="G247" s="184" t="s">
        <v>705</v>
      </c>
      <c r="H247" s="151"/>
      <c r="I247" s="151"/>
      <c r="J247" s="151"/>
      <c r="K247" s="151"/>
      <c r="L247" s="156"/>
      <c r="M247" s="157"/>
      <c r="N247" s="157"/>
      <c r="O247" s="157"/>
      <c r="P247" s="157"/>
      <c r="Q247" s="157"/>
      <c r="R247" s="157"/>
      <c r="S247" s="157"/>
      <c r="T247" s="158"/>
      <c r="U247" s="168"/>
    </row>
    <row r="248" spans="1:21" ht="12.75" x14ac:dyDescent="0.2">
      <c r="A248" s="169" t="s">
        <v>403</v>
      </c>
      <c r="B248" s="170" t="s">
        <v>934</v>
      </c>
      <c r="C248" s="171">
        <v>1</v>
      </c>
      <c r="D248" s="210"/>
      <c r="E248" s="187"/>
      <c r="F248" s="183"/>
      <c r="G248" s="184" t="s">
        <v>705</v>
      </c>
      <c r="H248" s="151"/>
      <c r="I248" s="151"/>
      <c r="J248" s="151"/>
      <c r="K248" s="151"/>
      <c r="L248" s="156"/>
      <c r="M248" s="157"/>
      <c r="N248" s="157"/>
      <c r="O248" s="157"/>
      <c r="P248" s="157"/>
      <c r="Q248" s="157"/>
      <c r="R248" s="157"/>
      <c r="S248" s="157"/>
      <c r="T248" s="158"/>
      <c r="U248" s="168"/>
    </row>
    <row r="249" spans="1:21" ht="12.75" x14ac:dyDescent="0.2">
      <c r="A249" s="169" t="s">
        <v>446</v>
      </c>
      <c r="B249" s="170"/>
      <c r="C249" s="171"/>
      <c r="D249" s="210"/>
      <c r="E249" s="187"/>
      <c r="F249" s="183"/>
      <c r="G249" s="184"/>
      <c r="H249" s="151"/>
      <c r="I249" s="151"/>
      <c r="J249" s="151"/>
      <c r="K249" s="151"/>
      <c r="L249" s="156"/>
      <c r="M249" s="157"/>
      <c r="N249" s="157"/>
      <c r="O249" s="157"/>
      <c r="P249" s="157"/>
      <c r="Q249" s="157"/>
      <c r="R249" s="157"/>
      <c r="S249" s="157"/>
      <c r="T249" s="158"/>
      <c r="U249" s="168"/>
    </row>
    <row r="250" spans="1:21" ht="21" x14ac:dyDescent="0.2">
      <c r="A250" s="175" t="s">
        <v>404</v>
      </c>
      <c r="B250" s="170" t="s">
        <v>934</v>
      </c>
      <c r="C250" s="171">
        <v>1</v>
      </c>
      <c r="D250" s="210"/>
      <c r="E250" s="187"/>
      <c r="F250" s="183"/>
      <c r="G250" s="184" t="s">
        <v>705</v>
      </c>
      <c r="H250" s="151"/>
      <c r="I250" s="151"/>
      <c r="J250" s="151"/>
      <c r="K250" s="151"/>
      <c r="L250" s="156"/>
      <c r="M250" s="157"/>
      <c r="N250" s="157"/>
      <c r="O250" s="157"/>
      <c r="P250" s="157"/>
      <c r="Q250" s="157"/>
      <c r="R250" s="157"/>
      <c r="S250" s="157"/>
      <c r="T250" s="158"/>
      <c r="U250" s="168"/>
    </row>
    <row r="251" spans="1:21" ht="21" x14ac:dyDescent="0.2">
      <c r="A251" s="175" t="s">
        <v>405</v>
      </c>
      <c r="B251" s="170" t="s">
        <v>934</v>
      </c>
      <c r="C251" s="171">
        <v>1</v>
      </c>
      <c r="D251" s="210"/>
      <c r="E251" s="187"/>
      <c r="F251" s="183"/>
      <c r="G251" s="184" t="s">
        <v>705</v>
      </c>
      <c r="H251" s="151"/>
      <c r="I251" s="151"/>
      <c r="J251" s="151"/>
      <c r="K251" s="151"/>
      <c r="L251" s="156"/>
      <c r="M251" s="157"/>
      <c r="N251" s="157"/>
      <c r="O251" s="157"/>
      <c r="P251" s="157"/>
      <c r="Q251" s="157"/>
      <c r="R251" s="157"/>
      <c r="S251" s="157"/>
      <c r="T251" s="158"/>
      <c r="U251" s="168"/>
    </row>
    <row r="252" spans="1:21" ht="21" x14ac:dyDescent="0.2">
      <c r="A252" s="175" t="s">
        <v>406</v>
      </c>
      <c r="B252" s="170" t="s">
        <v>934</v>
      </c>
      <c r="C252" s="171">
        <v>1</v>
      </c>
      <c r="D252" s="213"/>
      <c r="E252" s="188"/>
      <c r="F252" s="183"/>
      <c r="G252" s="184" t="s">
        <v>705</v>
      </c>
      <c r="H252" s="151"/>
      <c r="I252" s="151"/>
      <c r="J252" s="151"/>
      <c r="K252" s="151"/>
      <c r="L252" s="156"/>
      <c r="M252" s="157"/>
      <c r="N252" s="157"/>
      <c r="O252" s="157"/>
      <c r="P252" s="157"/>
      <c r="Q252" s="157"/>
      <c r="R252" s="157"/>
      <c r="S252" s="157"/>
      <c r="T252" s="158"/>
      <c r="U252" s="168"/>
    </row>
    <row r="253" spans="1:21" ht="14.25" x14ac:dyDescent="0.2">
      <c r="A253" s="179" t="s">
        <v>675</v>
      </c>
      <c r="B253" s="214"/>
      <c r="C253" s="171"/>
      <c r="D253" s="215"/>
      <c r="E253" s="215"/>
      <c r="F253" s="215"/>
      <c r="G253" s="216"/>
      <c r="H253" s="151"/>
      <c r="I253" s="151"/>
      <c r="J253" s="151"/>
      <c r="K253" s="151"/>
      <c r="L253" s="156"/>
      <c r="M253" s="157"/>
      <c r="N253" s="157"/>
      <c r="O253" s="157"/>
      <c r="P253" s="157"/>
      <c r="Q253" s="157"/>
      <c r="R253" s="157"/>
      <c r="S253" s="157"/>
      <c r="T253" s="158"/>
      <c r="U253" s="168"/>
    </row>
    <row r="254" spans="1:21" ht="21" x14ac:dyDescent="0.2">
      <c r="A254" s="169" t="s">
        <v>13</v>
      </c>
      <c r="B254" s="170" t="s">
        <v>345</v>
      </c>
      <c r="C254" s="171">
        <v>1</v>
      </c>
      <c r="D254" s="183"/>
      <c r="E254" s="183"/>
      <c r="F254" s="183"/>
      <c r="G254" s="184" t="s">
        <v>705</v>
      </c>
      <c r="H254" s="151"/>
      <c r="I254" s="151"/>
      <c r="J254" s="151"/>
      <c r="K254" s="151"/>
      <c r="L254" s="156"/>
      <c r="M254" s="157"/>
      <c r="N254" s="157"/>
      <c r="O254" s="157"/>
      <c r="P254" s="157"/>
      <c r="Q254" s="157"/>
      <c r="R254" s="157"/>
      <c r="S254" s="157"/>
      <c r="T254" s="158"/>
      <c r="U254" s="168"/>
    </row>
    <row r="255" spans="1:21" ht="18" x14ac:dyDescent="0.2">
      <c r="A255" s="175"/>
      <c r="B255" s="170" t="s">
        <v>907</v>
      </c>
      <c r="C255" s="171">
        <v>1</v>
      </c>
      <c r="D255" s="183"/>
      <c r="E255" s="183"/>
      <c r="F255" s="183"/>
      <c r="G255" s="184" t="s">
        <v>704</v>
      </c>
      <c r="H255" s="151"/>
      <c r="I255" s="151"/>
      <c r="J255" s="151"/>
      <c r="K255" s="151"/>
      <c r="L255" s="156"/>
      <c r="M255" s="157"/>
      <c r="N255" s="157"/>
      <c r="O255" s="157"/>
      <c r="P255" s="157"/>
      <c r="Q255" s="157"/>
      <c r="R255" s="157"/>
      <c r="S255" s="157"/>
      <c r="T255" s="158"/>
      <c r="U255" s="168"/>
    </row>
    <row r="256" spans="1:21" ht="31.5" x14ac:dyDescent="0.2">
      <c r="A256" s="175" t="s">
        <v>90</v>
      </c>
      <c r="B256" s="170" t="s">
        <v>898</v>
      </c>
      <c r="C256" s="171">
        <v>1</v>
      </c>
      <c r="D256" s="183"/>
      <c r="E256" s="183"/>
      <c r="F256" s="183"/>
      <c r="G256" s="184" t="s">
        <v>706</v>
      </c>
      <c r="H256" s="151"/>
      <c r="I256" s="151"/>
      <c r="J256" s="151"/>
      <c r="K256" s="151"/>
      <c r="L256" s="156"/>
      <c r="M256" s="157"/>
      <c r="N256" s="157"/>
      <c r="O256" s="157"/>
      <c r="P256" s="157"/>
      <c r="Q256" s="157"/>
      <c r="R256" s="157"/>
      <c r="S256" s="157"/>
      <c r="T256" s="158"/>
      <c r="U256" s="168"/>
    </row>
    <row r="257" spans="1:21" ht="14.25" x14ac:dyDescent="0.2">
      <c r="A257" s="217" t="s">
        <v>56</v>
      </c>
      <c r="B257" s="186"/>
      <c r="C257" s="171"/>
      <c r="D257" s="183"/>
      <c r="E257" s="183"/>
      <c r="F257" s="183"/>
      <c r="G257" s="184"/>
      <c r="H257" s="151"/>
      <c r="I257" s="151"/>
      <c r="J257" s="151"/>
      <c r="K257" s="151"/>
      <c r="L257" s="156"/>
      <c r="M257" s="157"/>
      <c r="N257" s="157"/>
      <c r="O257" s="157"/>
      <c r="P257" s="157"/>
      <c r="Q257" s="157"/>
      <c r="R257" s="157"/>
      <c r="S257" s="157"/>
      <c r="T257" s="158"/>
      <c r="U257" s="168"/>
    </row>
    <row r="258" spans="1:21" ht="18" x14ac:dyDescent="0.2">
      <c r="A258" s="169" t="s">
        <v>57</v>
      </c>
      <c r="B258" s="170" t="s">
        <v>58</v>
      </c>
      <c r="C258" s="171">
        <v>1</v>
      </c>
      <c r="D258" s="181"/>
      <c r="E258" s="181"/>
      <c r="F258" s="181"/>
      <c r="G258" s="184" t="s">
        <v>704</v>
      </c>
      <c r="H258" s="151"/>
      <c r="I258" s="151"/>
      <c r="J258" s="151"/>
      <c r="K258" s="151"/>
      <c r="L258" s="156"/>
      <c r="M258" s="157"/>
      <c r="N258" s="157"/>
      <c r="O258" s="157"/>
      <c r="P258" s="157"/>
      <c r="Q258" s="157"/>
      <c r="R258" s="157"/>
      <c r="S258" s="157"/>
      <c r="T258" s="158"/>
      <c r="U258" s="168"/>
    </row>
    <row r="259" spans="1:21" ht="21" x14ac:dyDescent="0.2">
      <c r="A259" s="169" t="s">
        <v>554</v>
      </c>
      <c r="B259" s="170" t="s">
        <v>138</v>
      </c>
      <c r="C259" s="171">
        <v>1</v>
      </c>
      <c r="D259" s="181"/>
      <c r="E259" s="181"/>
      <c r="F259" s="181"/>
      <c r="G259" s="192" t="s">
        <v>704</v>
      </c>
      <c r="H259" s="151"/>
      <c r="I259" s="151"/>
      <c r="J259" s="151"/>
      <c r="K259" s="151"/>
      <c r="L259" s="156"/>
      <c r="M259" s="157"/>
      <c r="N259" s="157"/>
      <c r="O259" s="157"/>
      <c r="P259" s="157"/>
      <c r="Q259" s="157"/>
      <c r="R259" s="157"/>
      <c r="S259" s="157"/>
      <c r="T259" s="158"/>
      <c r="U259" s="168"/>
    </row>
    <row r="260" spans="1:21" ht="12.75" x14ac:dyDescent="0.2">
      <c r="A260" s="169" t="s">
        <v>59</v>
      </c>
      <c r="B260" s="170" t="s">
        <v>615</v>
      </c>
      <c r="C260" s="171">
        <v>1</v>
      </c>
      <c r="D260" s="181"/>
      <c r="E260" s="181"/>
      <c r="F260" s="181"/>
      <c r="G260" s="192" t="s">
        <v>705</v>
      </c>
      <c r="H260" s="151"/>
      <c r="I260" s="151"/>
      <c r="J260" s="151"/>
      <c r="K260" s="151"/>
      <c r="L260" s="156"/>
      <c r="M260" s="157"/>
      <c r="N260" s="157"/>
      <c r="O260" s="157"/>
      <c r="P260" s="157"/>
      <c r="Q260" s="157"/>
      <c r="R260" s="157"/>
      <c r="S260" s="157"/>
      <c r="T260" s="158"/>
      <c r="U260" s="168"/>
    </row>
    <row r="261" spans="1:21" ht="21" x14ac:dyDescent="0.2">
      <c r="A261" s="169"/>
      <c r="B261" s="169" t="s">
        <v>907</v>
      </c>
      <c r="C261" s="171">
        <v>1</v>
      </c>
      <c r="D261" s="188"/>
      <c r="E261" s="188"/>
      <c r="F261" s="188"/>
      <c r="G261" s="194" t="s">
        <v>704</v>
      </c>
      <c r="H261" s="151"/>
      <c r="I261" s="151"/>
      <c r="J261" s="151"/>
      <c r="K261" s="151"/>
      <c r="L261" s="156"/>
      <c r="M261" s="157"/>
      <c r="N261" s="157"/>
      <c r="O261" s="157"/>
      <c r="P261" s="157"/>
      <c r="Q261" s="157"/>
      <c r="R261" s="157"/>
      <c r="S261" s="157"/>
      <c r="T261" s="158"/>
      <c r="U261" s="168"/>
    </row>
    <row r="262" spans="1:21" ht="12.75" x14ac:dyDescent="0.2">
      <c r="A262" s="169" t="s">
        <v>60</v>
      </c>
      <c r="B262" s="170" t="s">
        <v>898</v>
      </c>
      <c r="C262" s="171">
        <v>1</v>
      </c>
      <c r="D262" s="183"/>
      <c r="E262" s="183"/>
      <c r="F262" s="183"/>
      <c r="G262" s="184" t="s">
        <v>706</v>
      </c>
      <c r="H262" s="151"/>
      <c r="I262" s="151"/>
      <c r="J262" s="151"/>
      <c r="K262" s="151"/>
      <c r="L262" s="156"/>
      <c r="M262" s="157"/>
      <c r="N262" s="157"/>
      <c r="O262" s="157"/>
      <c r="P262" s="157"/>
      <c r="Q262" s="157"/>
      <c r="R262" s="157"/>
      <c r="S262" s="157"/>
      <c r="T262" s="158"/>
      <c r="U262" s="168"/>
    </row>
    <row r="263" spans="1:21" ht="12.75" x14ac:dyDescent="0.2">
      <c r="A263" s="169" t="s">
        <v>586</v>
      </c>
      <c r="B263" s="170" t="s">
        <v>345</v>
      </c>
      <c r="C263" s="171">
        <v>1</v>
      </c>
      <c r="D263" s="181"/>
      <c r="E263" s="181"/>
      <c r="F263" s="181"/>
      <c r="G263" s="192" t="s">
        <v>705</v>
      </c>
      <c r="H263" s="151"/>
      <c r="I263" s="151"/>
      <c r="J263" s="151"/>
      <c r="K263" s="151"/>
      <c r="L263" s="156"/>
      <c r="M263" s="157"/>
      <c r="N263" s="157"/>
      <c r="O263" s="157"/>
      <c r="P263" s="157"/>
      <c r="Q263" s="157"/>
      <c r="R263" s="157"/>
      <c r="S263" s="157"/>
      <c r="T263" s="158"/>
      <c r="U263" s="168"/>
    </row>
    <row r="264" spans="1:21" ht="21" x14ac:dyDescent="0.2">
      <c r="A264" s="169"/>
      <c r="B264" s="169" t="s">
        <v>907</v>
      </c>
      <c r="C264" s="171">
        <v>1</v>
      </c>
      <c r="D264" s="188"/>
      <c r="E264" s="188"/>
      <c r="F264" s="188"/>
      <c r="G264" s="194" t="s">
        <v>704</v>
      </c>
      <c r="H264" s="151"/>
      <c r="I264" s="151"/>
      <c r="J264" s="151"/>
      <c r="K264" s="151"/>
      <c r="L264" s="156"/>
      <c r="M264" s="157"/>
      <c r="N264" s="157"/>
      <c r="O264" s="157"/>
      <c r="P264" s="157"/>
      <c r="Q264" s="157"/>
      <c r="R264" s="157"/>
      <c r="S264" s="157"/>
      <c r="T264" s="158"/>
      <c r="U264" s="168"/>
    </row>
    <row r="265" spans="1:21" ht="21" x14ac:dyDescent="0.2">
      <c r="A265" s="169" t="s">
        <v>61</v>
      </c>
      <c r="B265" s="170" t="s">
        <v>58</v>
      </c>
      <c r="C265" s="171">
        <v>1</v>
      </c>
      <c r="D265" s="183"/>
      <c r="E265" s="183"/>
      <c r="F265" s="183"/>
      <c r="G265" s="184" t="s">
        <v>704</v>
      </c>
      <c r="H265" s="151"/>
      <c r="I265" s="151"/>
      <c r="J265" s="151"/>
      <c r="K265" s="151"/>
      <c r="L265" s="156"/>
      <c r="M265" s="157"/>
      <c r="N265" s="157"/>
      <c r="O265" s="157"/>
      <c r="P265" s="157"/>
      <c r="Q265" s="157"/>
      <c r="R265" s="157"/>
      <c r="S265" s="157"/>
      <c r="T265" s="158"/>
      <c r="U265" s="168"/>
    </row>
    <row r="266" spans="1:21" ht="12.75" x14ac:dyDescent="0.2">
      <c r="A266" s="169" t="s">
        <v>587</v>
      </c>
      <c r="B266" s="170" t="s">
        <v>345</v>
      </c>
      <c r="C266" s="171">
        <v>1</v>
      </c>
      <c r="D266" s="183"/>
      <c r="E266" s="183"/>
      <c r="F266" s="183"/>
      <c r="G266" s="184" t="s">
        <v>705</v>
      </c>
      <c r="H266" s="151"/>
      <c r="I266" s="151"/>
      <c r="J266" s="151"/>
      <c r="K266" s="151"/>
      <c r="L266" s="156"/>
      <c r="M266" s="157"/>
      <c r="N266" s="157"/>
      <c r="O266" s="157"/>
      <c r="P266" s="157"/>
      <c r="Q266" s="157"/>
      <c r="R266" s="157"/>
      <c r="S266" s="157"/>
      <c r="T266" s="158"/>
      <c r="U266" s="168"/>
    </row>
    <row r="267" spans="1:21" ht="21" x14ac:dyDescent="0.2">
      <c r="A267" s="169"/>
      <c r="B267" s="169" t="s">
        <v>907</v>
      </c>
      <c r="C267" s="171">
        <v>1</v>
      </c>
      <c r="D267" s="183"/>
      <c r="E267" s="183"/>
      <c r="F267" s="183"/>
      <c r="G267" s="184" t="s">
        <v>704</v>
      </c>
      <c r="H267" s="151"/>
      <c r="I267" s="151"/>
      <c r="J267" s="151"/>
      <c r="K267" s="151"/>
      <c r="L267" s="156"/>
      <c r="M267" s="157"/>
      <c r="N267" s="157"/>
      <c r="O267" s="157"/>
      <c r="P267" s="157"/>
      <c r="Q267" s="157"/>
      <c r="R267" s="157"/>
      <c r="S267" s="157"/>
      <c r="T267" s="158"/>
      <c r="U267" s="168"/>
    </row>
    <row r="268" spans="1:21" ht="12.75" x14ac:dyDescent="0.2">
      <c r="A268" s="169"/>
      <c r="B268" s="169"/>
      <c r="C268" s="171"/>
      <c r="D268" s="183"/>
      <c r="E268" s="183"/>
      <c r="F268" s="183"/>
      <c r="G268" s="184"/>
      <c r="H268" s="151"/>
      <c r="I268" s="151"/>
      <c r="J268" s="151"/>
      <c r="K268" s="151"/>
      <c r="L268" s="156"/>
      <c r="M268" s="157"/>
      <c r="N268" s="157"/>
      <c r="O268" s="157"/>
      <c r="P268" s="157"/>
      <c r="Q268" s="157"/>
      <c r="R268" s="157"/>
      <c r="S268" s="157"/>
      <c r="T268" s="158"/>
      <c r="U268" s="168"/>
    </row>
    <row r="269" spans="1:21" ht="12.75" x14ac:dyDescent="0.2">
      <c r="A269" s="169" t="s">
        <v>446</v>
      </c>
      <c r="B269" s="170"/>
      <c r="C269" s="171"/>
      <c r="D269" s="218"/>
      <c r="E269" s="218"/>
      <c r="F269" s="218"/>
      <c r="G269" s="219"/>
      <c r="H269" s="151"/>
      <c r="I269" s="151"/>
      <c r="J269" s="151"/>
      <c r="K269" s="151"/>
      <c r="L269" s="156"/>
      <c r="M269" s="157"/>
      <c r="N269" s="157"/>
      <c r="O269" s="157"/>
      <c r="P269" s="157"/>
      <c r="Q269" s="157"/>
      <c r="R269" s="157"/>
      <c r="S269" s="157"/>
      <c r="T269" s="158"/>
      <c r="U269" s="168"/>
    </row>
    <row r="270" spans="1:21" ht="18" x14ac:dyDescent="0.2">
      <c r="A270" s="189" t="s">
        <v>618</v>
      </c>
      <c r="B270" s="170" t="s">
        <v>906</v>
      </c>
      <c r="C270" s="171">
        <v>1</v>
      </c>
      <c r="D270" s="218"/>
      <c r="E270" s="218"/>
      <c r="F270" s="218"/>
      <c r="G270" s="219" t="s">
        <v>705</v>
      </c>
      <c r="H270" s="151"/>
      <c r="I270" s="151"/>
      <c r="J270" s="151"/>
      <c r="K270" s="151"/>
      <c r="L270" s="156"/>
      <c r="M270" s="157"/>
      <c r="N270" s="157"/>
      <c r="O270" s="157"/>
      <c r="P270" s="157"/>
      <c r="Q270" s="157"/>
      <c r="R270" s="157"/>
      <c r="S270" s="157"/>
      <c r="T270" s="158"/>
      <c r="U270" s="168"/>
    </row>
    <row r="271" spans="1:21" ht="18" x14ac:dyDescent="0.2">
      <c r="A271" s="189"/>
      <c r="B271" s="170" t="s">
        <v>907</v>
      </c>
      <c r="C271" s="171">
        <v>1</v>
      </c>
      <c r="D271" s="218"/>
      <c r="E271" s="218"/>
      <c r="F271" s="218"/>
      <c r="G271" s="219" t="s">
        <v>704</v>
      </c>
      <c r="H271" s="151"/>
      <c r="I271" s="151"/>
      <c r="J271" s="151"/>
      <c r="K271" s="151"/>
      <c r="L271" s="156"/>
      <c r="M271" s="157"/>
      <c r="N271" s="157"/>
      <c r="O271" s="157"/>
      <c r="P271" s="157"/>
      <c r="Q271" s="157"/>
      <c r="R271" s="157"/>
      <c r="S271" s="157"/>
      <c r="T271" s="158"/>
      <c r="U271" s="168"/>
    </row>
    <row r="272" spans="1:21" ht="18" x14ac:dyDescent="0.2">
      <c r="A272" s="220" t="s">
        <v>619</v>
      </c>
      <c r="B272" s="170" t="s">
        <v>906</v>
      </c>
      <c r="C272" s="171">
        <v>1</v>
      </c>
      <c r="D272" s="218"/>
      <c r="E272" s="218"/>
      <c r="F272" s="218"/>
      <c r="G272" s="219" t="s">
        <v>705</v>
      </c>
      <c r="H272" s="151"/>
      <c r="I272" s="151"/>
      <c r="J272" s="151"/>
      <c r="K272" s="151"/>
      <c r="L272" s="156"/>
      <c r="M272" s="157"/>
      <c r="N272" s="157"/>
      <c r="O272" s="157"/>
      <c r="P272" s="157"/>
      <c r="Q272" s="157"/>
      <c r="R272" s="157"/>
      <c r="S272" s="157"/>
      <c r="T272" s="158"/>
      <c r="U272" s="168"/>
    </row>
    <row r="273" spans="1:21" ht="18" x14ac:dyDescent="0.2">
      <c r="A273" s="189"/>
      <c r="B273" s="170" t="s">
        <v>907</v>
      </c>
      <c r="C273" s="171">
        <v>1</v>
      </c>
      <c r="D273" s="218"/>
      <c r="E273" s="218"/>
      <c r="F273" s="218"/>
      <c r="G273" s="219" t="s">
        <v>704</v>
      </c>
      <c r="H273" s="151"/>
      <c r="I273" s="151"/>
      <c r="J273" s="151"/>
      <c r="K273" s="151"/>
      <c r="L273" s="156"/>
      <c r="M273" s="157"/>
      <c r="N273" s="157"/>
      <c r="O273" s="157"/>
      <c r="P273" s="157"/>
      <c r="Q273" s="157"/>
      <c r="R273" s="157"/>
      <c r="S273" s="157"/>
      <c r="T273" s="158"/>
      <c r="U273" s="168"/>
    </row>
    <row r="274" spans="1:21" ht="18" x14ac:dyDescent="0.2">
      <c r="A274" s="189" t="s">
        <v>620</v>
      </c>
      <c r="B274" s="170" t="s">
        <v>906</v>
      </c>
      <c r="C274" s="171">
        <v>1</v>
      </c>
      <c r="D274" s="218"/>
      <c r="E274" s="218"/>
      <c r="F274" s="218"/>
      <c r="G274" s="219" t="s">
        <v>705</v>
      </c>
      <c r="H274" s="151"/>
      <c r="I274" s="151"/>
      <c r="J274" s="151"/>
      <c r="K274" s="151"/>
      <c r="L274" s="156"/>
      <c r="M274" s="157"/>
      <c r="N274" s="157"/>
      <c r="O274" s="157"/>
      <c r="P274" s="157"/>
      <c r="Q274" s="157"/>
      <c r="R274" s="157"/>
      <c r="S274" s="157"/>
      <c r="T274" s="158"/>
      <c r="U274" s="168"/>
    </row>
    <row r="275" spans="1:21" ht="18" x14ac:dyDescent="0.2">
      <c r="A275" s="189"/>
      <c r="B275" s="170" t="s">
        <v>907</v>
      </c>
      <c r="C275" s="171">
        <v>1</v>
      </c>
      <c r="D275" s="218"/>
      <c r="E275" s="218"/>
      <c r="F275" s="218"/>
      <c r="G275" s="219" t="s">
        <v>704</v>
      </c>
      <c r="H275" s="151"/>
      <c r="I275" s="151"/>
      <c r="J275" s="151"/>
      <c r="K275" s="151"/>
      <c r="L275" s="156"/>
      <c r="M275" s="157"/>
      <c r="N275" s="157"/>
      <c r="O275" s="157"/>
      <c r="P275" s="157"/>
      <c r="Q275" s="157"/>
      <c r="R275" s="157"/>
      <c r="S275" s="157"/>
      <c r="T275" s="158"/>
      <c r="U275" s="168"/>
    </row>
    <row r="276" spans="1:21" ht="18" x14ac:dyDescent="0.2">
      <c r="A276" s="189" t="s">
        <v>621</v>
      </c>
      <c r="B276" s="170" t="s">
        <v>906</v>
      </c>
      <c r="C276" s="171">
        <v>1</v>
      </c>
      <c r="D276" s="218"/>
      <c r="E276" s="218"/>
      <c r="F276" s="218"/>
      <c r="G276" s="219" t="s">
        <v>705</v>
      </c>
      <c r="H276" s="151"/>
      <c r="I276" s="151"/>
      <c r="J276" s="151"/>
      <c r="K276" s="151"/>
      <c r="L276" s="156"/>
      <c r="M276" s="157"/>
      <c r="N276" s="157"/>
      <c r="O276" s="157"/>
      <c r="P276" s="157"/>
      <c r="Q276" s="157"/>
      <c r="R276" s="157"/>
      <c r="S276" s="157"/>
      <c r="T276" s="158"/>
      <c r="U276" s="168"/>
    </row>
    <row r="277" spans="1:21" ht="18" x14ac:dyDescent="0.2">
      <c r="A277" s="189"/>
      <c r="B277" s="170" t="s">
        <v>907</v>
      </c>
      <c r="C277" s="171">
        <v>1</v>
      </c>
      <c r="D277" s="218"/>
      <c r="E277" s="218"/>
      <c r="F277" s="218"/>
      <c r="G277" s="219" t="s">
        <v>704</v>
      </c>
      <c r="H277" s="151"/>
      <c r="I277" s="151"/>
      <c r="J277" s="151"/>
      <c r="K277" s="151"/>
      <c r="L277" s="156"/>
      <c r="M277" s="157"/>
      <c r="N277" s="157"/>
      <c r="O277" s="157"/>
      <c r="P277" s="157"/>
      <c r="Q277" s="157"/>
      <c r="R277" s="157"/>
      <c r="S277" s="157"/>
      <c r="T277" s="158"/>
      <c r="U277" s="168"/>
    </row>
    <row r="278" spans="1:21" ht="18" x14ac:dyDescent="0.2">
      <c r="A278" s="189" t="s">
        <v>622</v>
      </c>
      <c r="B278" s="170" t="s">
        <v>906</v>
      </c>
      <c r="C278" s="171">
        <v>1</v>
      </c>
      <c r="D278" s="218"/>
      <c r="E278" s="218"/>
      <c r="F278" s="218"/>
      <c r="G278" s="219" t="s">
        <v>705</v>
      </c>
      <c r="H278" s="151"/>
      <c r="I278" s="151"/>
      <c r="J278" s="151"/>
      <c r="K278" s="151"/>
      <c r="L278" s="156"/>
      <c r="M278" s="157"/>
      <c r="N278" s="157"/>
      <c r="O278" s="157"/>
      <c r="P278" s="157"/>
      <c r="Q278" s="157"/>
      <c r="R278" s="157"/>
      <c r="S278" s="157"/>
      <c r="T278" s="158"/>
      <c r="U278" s="168"/>
    </row>
    <row r="279" spans="1:21" ht="18" x14ac:dyDescent="0.2">
      <c r="A279" s="189"/>
      <c r="B279" s="170" t="s">
        <v>907</v>
      </c>
      <c r="C279" s="171">
        <v>1</v>
      </c>
      <c r="D279" s="218"/>
      <c r="E279" s="218"/>
      <c r="F279" s="218"/>
      <c r="G279" s="219" t="s">
        <v>704</v>
      </c>
      <c r="H279" s="151"/>
      <c r="I279" s="151"/>
      <c r="J279" s="151"/>
      <c r="K279" s="151"/>
      <c r="L279" s="156"/>
      <c r="M279" s="157"/>
      <c r="N279" s="157"/>
      <c r="O279" s="157"/>
      <c r="P279" s="157"/>
      <c r="Q279" s="157"/>
      <c r="R279" s="157"/>
      <c r="S279" s="157"/>
      <c r="T279" s="158"/>
      <c r="U279" s="168"/>
    </row>
    <row r="280" spans="1:21" ht="18" x14ac:dyDescent="0.2">
      <c r="A280" s="189" t="s">
        <v>623</v>
      </c>
      <c r="B280" s="170" t="s">
        <v>906</v>
      </c>
      <c r="C280" s="171">
        <v>1</v>
      </c>
      <c r="D280" s="218"/>
      <c r="E280" s="218"/>
      <c r="F280" s="218"/>
      <c r="G280" s="219" t="s">
        <v>705</v>
      </c>
      <c r="H280" s="151"/>
      <c r="I280" s="151"/>
      <c r="J280" s="151"/>
      <c r="K280" s="151"/>
      <c r="L280" s="156"/>
      <c r="M280" s="157"/>
      <c r="N280" s="157"/>
      <c r="O280" s="157"/>
      <c r="P280" s="157"/>
      <c r="Q280" s="157"/>
      <c r="R280" s="157"/>
      <c r="S280" s="157"/>
      <c r="T280" s="158"/>
      <c r="U280" s="168"/>
    </row>
    <row r="281" spans="1:21" ht="18" x14ac:dyDescent="0.2">
      <c r="A281" s="189"/>
      <c r="B281" s="170" t="s">
        <v>907</v>
      </c>
      <c r="C281" s="171">
        <v>1</v>
      </c>
      <c r="D281" s="218"/>
      <c r="E281" s="218"/>
      <c r="F281" s="218"/>
      <c r="G281" s="219" t="s">
        <v>704</v>
      </c>
      <c r="H281" s="151"/>
      <c r="I281" s="151"/>
      <c r="J281" s="151"/>
      <c r="K281" s="151"/>
      <c r="L281" s="156"/>
      <c r="M281" s="157"/>
      <c r="N281" s="157"/>
      <c r="O281" s="157"/>
      <c r="P281" s="157"/>
      <c r="Q281" s="157"/>
      <c r="R281" s="157"/>
      <c r="S281" s="157"/>
      <c r="T281" s="158"/>
      <c r="U281" s="168"/>
    </row>
    <row r="282" spans="1:21" ht="18" x14ac:dyDescent="0.2">
      <c r="A282" s="220" t="s">
        <v>653</v>
      </c>
      <c r="B282" s="170" t="s">
        <v>906</v>
      </c>
      <c r="C282" s="171">
        <v>1</v>
      </c>
      <c r="D282" s="218"/>
      <c r="E282" s="218"/>
      <c r="F282" s="218"/>
      <c r="G282" s="219" t="s">
        <v>705</v>
      </c>
      <c r="H282" s="151"/>
      <c r="I282" s="151"/>
      <c r="J282" s="151"/>
      <c r="K282" s="151"/>
      <c r="L282" s="156"/>
      <c r="M282" s="157"/>
      <c r="N282" s="157"/>
      <c r="O282" s="157"/>
      <c r="P282" s="157"/>
      <c r="Q282" s="157"/>
      <c r="R282" s="157"/>
      <c r="S282" s="157"/>
      <c r="T282" s="158"/>
      <c r="U282" s="168"/>
    </row>
    <row r="283" spans="1:21" ht="18" x14ac:dyDescent="0.2">
      <c r="A283" s="189"/>
      <c r="B283" s="170" t="s">
        <v>907</v>
      </c>
      <c r="C283" s="171">
        <v>1</v>
      </c>
      <c r="D283" s="218"/>
      <c r="E283" s="218"/>
      <c r="F283" s="218"/>
      <c r="G283" s="219" t="s">
        <v>704</v>
      </c>
      <c r="H283" s="151"/>
      <c r="I283" s="151"/>
      <c r="J283" s="151"/>
      <c r="K283" s="151"/>
      <c r="L283" s="156"/>
      <c r="M283" s="157"/>
      <c r="N283" s="157"/>
      <c r="O283" s="157"/>
      <c r="P283" s="157"/>
      <c r="Q283" s="157"/>
      <c r="R283" s="157"/>
      <c r="S283" s="157"/>
      <c r="T283" s="158"/>
      <c r="U283" s="168"/>
    </row>
    <row r="284" spans="1:21" ht="18" x14ac:dyDescent="0.2">
      <c r="A284" s="189" t="s">
        <v>654</v>
      </c>
      <c r="B284" s="170" t="s">
        <v>906</v>
      </c>
      <c r="C284" s="171">
        <v>1</v>
      </c>
      <c r="D284" s="218"/>
      <c r="E284" s="218"/>
      <c r="F284" s="218"/>
      <c r="G284" s="219" t="s">
        <v>705</v>
      </c>
      <c r="H284" s="151"/>
      <c r="I284" s="151"/>
      <c r="J284" s="151"/>
      <c r="K284" s="151"/>
      <c r="L284" s="156"/>
      <c r="M284" s="157"/>
      <c r="N284" s="157"/>
      <c r="O284" s="157"/>
      <c r="P284" s="157"/>
      <c r="Q284" s="157"/>
      <c r="R284" s="157"/>
      <c r="S284" s="157"/>
      <c r="T284" s="158"/>
      <c r="U284" s="168"/>
    </row>
    <row r="285" spans="1:21" ht="18" x14ac:dyDescent="0.2">
      <c r="A285" s="189"/>
      <c r="B285" s="170" t="s">
        <v>907</v>
      </c>
      <c r="C285" s="171">
        <v>1</v>
      </c>
      <c r="D285" s="218"/>
      <c r="E285" s="218"/>
      <c r="F285" s="218"/>
      <c r="G285" s="219" t="s">
        <v>704</v>
      </c>
      <c r="H285" s="151"/>
      <c r="I285" s="151"/>
      <c r="J285" s="151"/>
      <c r="K285" s="151"/>
      <c r="L285" s="156"/>
      <c r="M285" s="157"/>
      <c r="N285" s="157"/>
      <c r="O285" s="157"/>
      <c r="P285" s="157"/>
      <c r="Q285" s="157"/>
      <c r="R285" s="157"/>
      <c r="S285" s="157"/>
      <c r="T285" s="158"/>
      <c r="U285" s="168"/>
    </row>
    <row r="286" spans="1:21" ht="18" x14ac:dyDescent="0.2">
      <c r="A286" s="220" t="s">
        <v>625</v>
      </c>
      <c r="B286" s="170" t="s">
        <v>906</v>
      </c>
      <c r="C286" s="171">
        <v>1</v>
      </c>
      <c r="D286" s="218"/>
      <c r="E286" s="218"/>
      <c r="F286" s="218"/>
      <c r="G286" s="219" t="s">
        <v>705</v>
      </c>
      <c r="H286" s="151"/>
      <c r="I286" s="151"/>
      <c r="J286" s="151"/>
      <c r="K286" s="151"/>
      <c r="L286" s="156"/>
      <c r="M286" s="157"/>
      <c r="N286" s="157"/>
      <c r="O286" s="157"/>
      <c r="P286" s="157"/>
      <c r="Q286" s="157"/>
      <c r="R286" s="157"/>
      <c r="S286" s="157"/>
      <c r="T286" s="158"/>
      <c r="U286" s="168"/>
    </row>
    <row r="287" spans="1:21" ht="18" x14ac:dyDescent="0.2">
      <c r="A287" s="220"/>
      <c r="B287" s="170" t="s">
        <v>907</v>
      </c>
      <c r="C287" s="171">
        <v>1</v>
      </c>
      <c r="D287" s="218"/>
      <c r="E287" s="218"/>
      <c r="F287" s="218"/>
      <c r="G287" s="219" t="s">
        <v>704</v>
      </c>
      <c r="H287" s="151"/>
      <c r="I287" s="151"/>
      <c r="J287" s="151"/>
      <c r="K287" s="151"/>
      <c r="L287" s="156"/>
      <c r="M287" s="157"/>
      <c r="N287" s="157"/>
      <c r="O287" s="157"/>
      <c r="P287" s="157"/>
      <c r="Q287" s="157"/>
      <c r="R287" s="157"/>
      <c r="S287" s="157"/>
      <c r="T287" s="158"/>
      <c r="U287" s="168"/>
    </row>
    <row r="288" spans="1:21" ht="18" x14ac:dyDescent="0.2">
      <c r="A288" s="220" t="s">
        <v>657</v>
      </c>
      <c r="B288" s="170" t="s">
        <v>906</v>
      </c>
      <c r="C288" s="171">
        <v>1</v>
      </c>
      <c r="D288" s="218"/>
      <c r="E288" s="218"/>
      <c r="F288" s="218"/>
      <c r="G288" s="219" t="s">
        <v>705</v>
      </c>
      <c r="H288" s="151"/>
      <c r="I288" s="151"/>
      <c r="J288" s="151"/>
      <c r="K288" s="151"/>
      <c r="L288" s="156"/>
      <c r="M288" s="157"/>
      <c r="N288" s="157"/>
      <c r="O288" s="157"/>
      <c r="P288" s="157"/>
      <c r="Q288" s="157"/>
      <c r="R288" s="157"/>
      <c r="S288" s="157"/>
      <c r="T288" s="158"/>
      <c r="U288" s="168"/>
    </row>
    <row r="289" spans="1:21" ht="18" x14ac:dyDescent="0.2">
      <c r="A289" s="220"/>
      <c r="B289" s="170" t="s">
        <v>907</v>
      </c>
      <c r="C289" s="171">
        <v>1</v>
      </c>
      <c r="D289" s="218"/>
      <c r="E289" s="218"/>
      <c r="F289" s="218"/>
      <c r="G289" s="219" t="s">
        <v>704</v>
      </c>
      <c r="H289" s="151"/>
      <c r="I289" s="151"/>
      <c r="J289" s="151"/>
      <c r="K289" s="151"/>
      <c r="L289" s="156"/>
      <c r="M289" s="157"/>
      <c r="N289" s="157"/>
      <c r="O289" s="157"/>
      <c r="P289" s="157"/>
      <c r="Q289" s="157"/>
      <c r="R289" s="157"/>
      <c r="S289" s="157"/>
      <c r="T289" s="158"/>
      <c r="U289" s="168"/>
    </row>
    <row r="290" spans="1:21" ht="18" x14ac:dyDescent="0.2">
      <c r="A290" s="220" t="s">
        <v>62</v>
      </c>
      <c r="B290" s="170" t="s">
        <v>906</v>
      </c>
      <c r="C290" s="171">
        <v>1</v>
      </c>
      <c r="D290" s="218"/>
      <c r="E290" s="218"/>
      <c r="F290" s="218"/>
      <c r="G290" s="219" t="s">
        <v>705</v>
      </c>
      <c r="H290" s="151"/>
      <c r="I290" s="151"/>
      <c r="J290" s="151"/>
      <c r="K290" s="151"/>
      <c r="L290" s="156"/>
      <c r="M290" s="157"/>
      <c r="N290" s="157"/>
      <c r="O290" s="157"/>
      <c r="P290" s="157"/>
      <c r="Q290" s="157"/>
      <c r="R290" s="157"/>
      <c r="S290" s="157"/>
      <c r="T290" s="158"/>
      <c r="U290" s="168"/>
    </row>
    <row r="291" spans="1:21" ht="18" x14ac:dyDescent="0.2">
      <c r="A291" s="220"/>
      <c r="B291" s="170" t="s">
        <v>907</v>
      </c>
      <c r="C291" s="171">
        <v>1</v>
      </c>
      <c r="D291" s="218"/>
      <c r="E291" s="218"/>
      <c r="F291" s="218"/>
      <c r="G291" s="219" t="s">
        <v>704</v>
      </c>
      <c r="H291" s="151"/>
      <c r="I291" s="151"/>
      <c r="J291" s="151"/>
      <c r="K291" s="151"/>
      <c r="L291" s="156"/>
      <c r="M291" s="157"/>
      <c r="N291" s="157"/>
      <c r="O291" s="157"/>
      <c r="P291" s="157"/>
      <c r="Q291" s="157"/>
      <c r="R291" s="157"/>
      <c r="S291" s="157"/>
      <c r="T291" s="158"/>
      <c r="U291" s="168"/>
    </row>
    <row r="292" spans="1:21" ht="18" x14ac:dyDescent="0.2">
      <c r="A292" s="189" t="s">
        <v>63</v>
      </c>
      <c r="B292" s="170" t="s">
        <v>906</v>
      </c>
      <c r="C292" s="171">
        <v>1</v>
      </c>
      <c r="D292" s="218"/>
      <c r="E292" s="218"/>
      <c r="F292" s="218"/>
      <c r="G292" s="219" t="s">
        <v>705</v>
      </c>
      <c r="H292" s="151"/>
      <c r="I292" s="151"/>
      <c r="J292" s="151"/>
      <c r="K292" s="151"/>
      <c r="L292" s="156"/>
      <c r="M292" s="157"/>
      <c r="N292" s="157"/>
      <c r="O292" s="157"/>
      <c r="P292" s="157"/>
      <c r="Q292" s="157"/>
      <c r="R292" s="157"/>
      <c r="S292" s="157"/>
      <c r="T292" s="158"/>
      <c r="U292" s="168"/>
    </row>
    <row r="293" spans="1:21" ht="18" x14ac:dyDescent="0.2">
      <c r="A293" s="189"/>
      <c r="B293" s="170" t="s">
        <v>907</v>
      </c>
      <c r="C293" s="171">
        <v>1</v>
      </c>
      <c r="D293" s="218"/>
      <c r="E293" s="218"/>
      <c r="F293" s="218"/>
      <c r="G293" s="219" t="s">
        <v>704</v>
      </c>
      <c r="H293" s="151"/>
      <c r="I293" s="151"/>
      <c r="J293" s="151"/>
      <c r="K293" s="151"/>
      <c r="L293" s="156"/>
      <c r="M293" s="157"/>
      <c r="N293" s="157"/>
      <c r="O293" s="157"/>
      <c r="P293" s="157"/>
      <c r="Q293" s="157"/>
      <c r="R293" s="157"/>
      <c r="S293" s="157"/>
      <c r="T293" s="158"/>
      <c r="U293" s="168"/>
    </row>
    <row r="294" spans="1:21" ht="18" x14ac:dyDescent="0.2">
      <c r="A294" s="189" t="s">
        <v>624</v>
      </c>
      <c r="B294" s="170" t="s">
        <v>906</v>
      </c>
      <c r="C294" s="171">
        <v>1</v>
      </c>
      <c r="D294" s="218"/>
      <c r="E294" s="218"/>
      <c r="F294" s="218"/>
      <c r="G294" s="219" t="s">
        <v>705</v>
      </c>
      <c r="H294" s="151"/>
      <c r="I294" s="151"/>
      <c r="J294" s="151"/>
      <c r="K294" s="151"/>
      <c r="L294" s="156"/>
      <c r="M294" s="157"/>
      <c r="N294" s="157"/>
      <c r="O294" s="157"/>
      <c r="P294" s="157"/>
      <c r="Q294" s="157"/>
      <c r="R294" s="157"/>
      <c r="S294" s="157"/>
      <c r="T294" s="158"/>
      <c r="U294" s="168"/>
    </row>
    <row r="295" spans="1:21" ht="18" x14ac:dyDescent="0.2">
      <c r="A295" s="189"/>
      <c r="B295" s="170" t="s">
        <v>907</v>
      </c>
      <c r="C295" s="171">
        <v>1</v>
      </c>
      <c r="D295" s="218"/>
      <c r="E295" s="218"/>
      <c r="F295" s="218"/>
      <c r="G295" s="219" t="s">
        <v>704</v>
      </c>
      <c r="H295" s="151"/>
      <c r="I295" s="151"/>
      <c r="J295" s="151"/>
      <c r="K295" s="151"/>
      <c r="L295" s="156"/>
      <c r="M295" s="157"/>
      <c r="N295" s="157"/>
      <c r="O295" s="157"/>
      <c r="P295" s="157"/>
      <c r="Q295" s="157"/>
      <c r="R295" s="157"/>
      <c r="S295" s="157"/>
      <c r="T295" s="158"/>
      <c r="U295" s="168"/>
    </row>
    <row r="296" spans="1:21" ht="18" x14ac:dyDescent="0.2">
      <c r="A296" s="189" t="s">
        <v>64</v>
      </c>
      <c r="B296" s="170" t="s">
        <v>906</v>
      </c>
      <c r="C296" s="171">
        <v>1</v>
      </c>
      <c r="D296" s="218"/>
      <c r="E296" s="218"/>
      <c r="F296" s="218"/>
      <c r="G296" s="219" t="s">
        <v>705</v>
      </c>
      <c r="H296" s="151"/>
      <c r="I296" s="151"/>
      <c r="J296" s="151"/>
      <c r="K296" s="151"/>
      <c r="L296" s="156"/>
      <c r="M296" s="157"/>
      <c r="N296" s="157"/>
      <c r="O296" s="157"/>
      <c r="P296" s="157"/>
      <c r="Q296" s="157"/>
      <c r="R296" s="157"/>
      <c r="S296" s="157"/>
      <c r="T296" s="158"/>
      <c r="U296" s="168"/>
    </row>
    <row r="297" spans="1:21" ht="14.25" x14ac:dyDescent="0.2">
      <c r="A297" s="175"/>
      <c r="B297" s="186"/>
      <c r="C297" s="171"/>
      <c r="D297" s="183"/>
      <c r="E297" s="183"/>
      <c r="F297" s="183"/>
      <c r="G297" s="184"/>
      <c r="H297" s="151"/>
      <c r="I297" s="151"/>
      <c r="J297" s="151"/>
      <c r="K297" s="151"/>
      <c r="L297" s="156"/>
      <c r="M297" s="157"/>
      <c r="N297" s="157"/>
      <c r="O297" s="157"/>
      <c r="P297" s="157"/>
      <c r="Q297" s="157"/>
      <c r="R297" s="157"/>
      <c r="S297" s="157"/>
      <c r="T297" s="158"/>
      <c r="U297" s="168"/>
    </row>
    <row r="298" spans="1:21" ht="28.5" x14ac:dyDescent="0.2">
      <c r="A298" s="217" t="s">
        <v>65</v>
      </c>
      <c r="B298" s="186"/>
      <c r="C298" s="171"/>
      <c r="D298" s="183"/>
      <c r="E298" s="183"/>
      <c r="F298" s="183"/>
      <c r="G298" s="184"/>
      <c r="H298" s="151"/>
      <c r="I298" s="151"/>
      <c r="J298" s="151"/>
      <c r="K298" s="151"/>
      <c r="L298" s="156"/>
      <c r="M298" s="157"/>
      <c r="N298" s="157"/>
      <c r="O298" s="157"/>
      <c r="P298" s="157"/>
      <c r="Q298" s="157"/>
      <c r="R298" s="157"/>
      <c r="S298" s="157"/>
      <c r="T298" s="158"/>
      <c r="U298" s="168"/>
    </row>
    <row r="299" spans="1:21" ht="12.75" x14ac:dyDescent="0.2">
      <c r="A299" s="191" t="s">
        <v>555</v>
      </c>
      <c r="B299" s="170" t="s">
        <v>66</v>
      </c>
      <c r="C299" s="171">
        <v>1</v>
      </c>
      <c r="D299" s="183"/>
      <c r="E299" s="181"/>
      <c r="F299" s="183"/>
      <c r="G299" s="184" t="s">
        <v>705</v>
      </c>
      <c r="H299" s="151"/>
      <c r="I299" s="151"/>
      <c r="J299" s="151"/>
      <c r="K299" s="151"/>
      <c r="L299" s="156"/>
      <c r="M299" s="157"/>
      <c r="N299" s="157"/>
      <c r="O299" s="157"/>
      <c r="P299" s="157"/>
      <c r="Q299" s="157"/>
      <c r="R299" s="157"/>
      <c r="S299" s="157"/>
      <c r="T299" s="158"/>
      <c r="U299" s="168"/>
    </row>
    <row r="300" spans="1:21" ht="12.75" x14ac:dyDescent="0.2">
      <c r="A300" s="221"/>
      <c r="B300" s="222"/>
      <c r="C300" s="171"/>
      <c r="D300" s="183"/>
      <c r="E300" s="187"/>
      <c r="F300" s="183"/>
      <c r="G300" s="184"/>
      <c r="H300" s="151"/>
      <c r="I300" s="151"/>
      <c r="J300" s="151"/>
      <c r="K300" s="151"/>
      <c r="L300" s="156"/>
      <c r="M300" s="157"/>
      <c r="N300" s="157"/>
      <c r="O300" s="157"/>
      <c r="P300" s="157"/>
      <c r="Q300" s="157"/>
      <c r="R300" s="157"/>
      <c r="S300" s="157"/>
      <c r="T300" s="158"/>
      <c r="U300" s="168"/>
    </row>
    <row r="301" spans="1:21" ht="12.75" x14ac:dyDescent="0.2">
      <c r="A301" s="191" t="s">
        <v>556</v>
      </c>
      <c r="B301" s="170" t="s">
        <v>66</v>
      </c>
      <c r="C301" s="171">
        <v>1</v>
      </c>
      <c r="D301" s="183"/>
      <c r="E301" s="188"/>
      <c r="F301" s="183"/>
      <c r="G301" s="184" t="s">
        <v>705</v>
      </c>
      <c r="H301" s="151"/>
      <c r="I301" s="151"/>
      <c r="J301" s="151"/>
      <c r="K301" s="151"/>
      <c r="L301" s="156"/>
      <c r="M301" s="157"/>
      <c r="N301" s="157"/>
      <c r="O301" s="157"/>
      <c r="P301" s="157"/>
      <c r="Q301" s="157"/>
      <c r="R301" s="157"/>
      <c r="S301" s="157"/>
      <c r="T301" s="158"/>
      <c r="U301" s="168"/>
    </row>
    <row r="302" spans="1:21" ht="12.75" x14ac:dyDescent="0.2">
      <c r="A302" s="221"/>
      <c r="B302" s="222"/>
      <c r="C302" s="171"/>
      <c r="D302" s="183"/>
      <c r="E302" s="188"/>
      <c r="F302" s="181"/>
      <c r="G302" s="184"/>
      <c r="H302" s="151"/>
      <c r="I302" s="151"/>
      <c r="J302" s="151"/>
      <c r="K302" s="151"/>
      <c r="L302" s="156"/>
      <c r="M302" s="157"/>
      <c r="N302" s="157"/>
      <c r="O302" s="157"/>
      <c r="P302" s="157"/>
      <c r="Q302" s="157"/>
      <c r="R302" s="157"/>
      <c r="S302" s="157"/>
      <c r="T302" s="158"/>
      <c r="U302" s="168"/>
    </row>
    <row r="303" spans="1:21" ht="12.75" x14ac:dyDescent="0.2">
      <c r="A303" s="191" t="s">
        <v>557</v>
      </c>
      <c r="B303" s="170"/>
      <c r="C303" s="171"/>
      <c r="D303" s="183"/>
      <c r="E303" s="183"/>
      <c r="F303" s="181"/>
      <c r="G303" s="184"/>
      <c r="H303" s="151"/>
      <c r="I303" s="151"/>
      <c r="J303" s="151"/>
      <c r="K303" s="151"/>
      <c r="L303" s="156"/>
      <c r="M303" s="157"/>
      <c r="N303" s="157"/>
      <c r="O303" s="157"/>
      <c r="P303" s="157"/>
      <c r="Q303" s="157"/>
      <c r="R303" s="157"/>
      <c r="S303" s="157"/>
      <c r="T303" s="158"/>
      <c r="U303" s="168"/>
    </row>
    <row r="304" spans="1:21" ht="12.75" x14ac:dyDescent="0.2">
      <c r="A304" s="175" t="s">
        <v>224</v>
      </c>
      <c r="B304" s="170" t="s">
        <v>66</v>
      </c>
      <c r="C304" s="171">
        <v>1</v>
      </c>
      <c r="D304" s="183"/>
      <c r="E304" s="183"/>
      <c r="F304" s="187"/>
      <c r="G304" s="184" t="s">
        <v>705</v>
      </c>
      <c r="H304" s="151"/>
      <c r="I304" s="151"/>
      <c r="J304" s="151"/>
      <c r="K304" s="151"/>
      <c r="L304" s="156"/>
      <c r="M304" s="157"/>
      <c r="N304" s="157"/>
      <c r="O304" s="157"/>
      <c r="P304" s="157"/>
      <c r="Q304" s="157"/>
      <c r="R304" s="157"/>
      <c r="S304" s="157"/>
      <c r="T304" s="158"/>
      <c r="U304" s="168"/>
    </row>
    <row r="305" spans="1:21" ht="12.75" x14ac:dyDescent="0.2">
      <c r="A305" s="175" t="s">
        <v>67</v>
      </c>
      <c r="B305" s="170"/>
      <c r="C305" s="171"/>
      <c r="D305" s="183"/>
      <c r="E305" s="183"/>
      <c r="F305" s="187"/>
      <c r="G305" s="184"/>
      <c r="H305" s="151"/>
      <c r="I305" s="151"/>
      <c r="J305" s="151"/>
      <c r="K305" s="151"/>
      <c r="L305" s="156"/>
      <c r="M305" s="157"/>
      <c r="N305" s="157"/>
      <c r="O305" s="157"/>
      <c r="P305" s="157"/>
      <c r="Q305" s="157"/>
      <c r="R305" s="157"/>
      <c r="S305" s="157"/>
      <c r="T305" s="158"/>
      <c r="U305" s="168"/>
    </row>
    <row r="306" spans="1:21" ht="31.5" x14ac:dyDescent="0.2">
      <c r="A306" s="189" t="s">
        <v>68</v>
      </c>
      <c r="B306" s="170" t="s">
        <v>66</v>
      </c>
      <c r="C306" s="171">
        <v>1</v>
      </c>
      <c r="D306" s="183"/>
      <c r="E306" s="183"/>
      <c r="F306" s="187"/>
      <c r="G306" s="184" t="s">
        <v>705</v>
      </c>
      <c r="H306" s="151"/>
      <c r="I306" s="151"/>
      <c r="J306" s="151"/>
      <c r="K306" s="151"/>
      <c r="L306" s="156"/>
      <c r="M306" s="157"/>
      <c r="N306" s="157"/>
      <c r="O306" s="157"/>
      <c r="P306" s="157"/>
      <c r="Q306" s="157"/>
      <c r="R306" s="157"/>
      <c r="S306" s="157"/>
      <c r="T306" s="158"/>
      <c r="U306" s="168"/>
    </row>
    <row r="307" spans="1:21" ht="12.75" x14ac:dyDescent="0.2">
      <c r="A307" s="189" t="s">
        <v>69</v>
      </c>
      <c r="B307" s="170" t="s">
        <v>66</v>
      </c>
      <c r="C307" s="171">
        <v>1</v>
      </c>
      <c r="D307" s="183"/>
      <c r="E307" s="183"/>
      <c r="F307" s="187"/>
      <c r="G307" s="184" t="s">
        <v>705</v>
      </c>
      <c r="H307" s="151"/>
      <c r="I307" s="151"/>
      <c r="J307" s="151"/>
      <c r="K307" s="151"/>
      <c r="L307" s="156"/>
      <c r="M307" s="157"/>
      <c r="N307" s="157"/>
      <c r="O307" s="157"/>
      <c r="P307" s="157"/>
      <c r="Q307" s="157"/>
      <c r="R307" s="157"/>
      <c r="S307" s="157"/>
      <c r="T307" s="158"/>
      <c r="U307" s="168"/>
    </row>
    <row r="308" spans="1:21" ht="21" x14ac:dyDescent="0.2">
      <c r="A308" s="189" t="s">
        <v>70</v>
      </c>
      <c r="B308" s="170" t="s">
        <v>66</v>
      </c>
      <c r="C308" s="171">
        <v>1</v>
      </c>
      <c r="D308" s="183"/>
      <c r="E308" s="183"/>
      <c r="F308" s="187"/>
      <c r="G308" s="184" t="s">
        <v>705</v>
      </c>
      <c r="H308" s="151"/>
      <c r="I308" s="151"/>
      <c r="J308" s="151"/>
      <c r="K308" s="151"/>
      <c r="L308" s="156"/>
      <c r="M308" s="157"/>
      <c r="N308" s="157"/>
      <c r="O308" s="157"/>
      <c r="P308" s="157"/>
      <c r="Q308" s="157"/>
      <c r="R308" s="157"/>
      <c r="S308" s="157"/>
      <c r="T308" s="158"/>
      <c r="U308" s="168"/>
    </row>
    <row r="309" spans="1:21" ht="21" x14ac:dyDescent="0.2">
      <c r="A309" s="189" t="s">
        <v>71</v>
      </c>
      <c r="B309" s="170" t="s">
        <v>66</v>
      </c>
      <c r="C309" s="171">
        <v>1</v>
      </c>
      <c r="D309" s="183"/>
      <c r="E309" s="183"/>
      <c r="F309" s="187"/>
      <c r="G309" s="184" t="s">
        <v>705</v>
      </c>
      <c r="H309" s="151"/>
      <c r="I309" s="151"/>
      <c r="J309" s="151"/>
      <c r="K309" s="151"/>
      <c r="L309" s="156"/>
      <c r="M309" s="157"/>
      <c r="N309" s="157"/>
      <c r="O309" s="157"/>
      <c r="P309" s="157"/>
      <c r="Q309" s="157"/>
      <c r="R309" s="157"/>
      <c r="S309" s="157"/>
      <c r="T309" s="158"/>
      <c r="U309" s="168"/>
    </row>
    <row r="310" spans="1:21" ht="12.75" x14ac:dyDescent="0.2">
      <c r="A310" s="189" t="s">
        <v>72</v>
      </c>
      <c r="B310" s="170" t="s">
        <v>66</v>
      </c>
      <c r="C310" s="171">
        <v>1</v>
      </c>
      <c r="D310" s="183"/>
      <c r="E310" s="183"/>
      <c r="F310" s="187"/>
      <c r="G310" s="184" t="s">
        <v>705</v>
      </c>
      <c r="H310" s="151"/>
      <c r="I310" s="151"/>
      <c r="J310" s="151"/>
      <c r="K310" s="151"/>
      <c r="L310" s="156"/>
      <c r="M310" s="157"/>
      <c r="N310" s="157"/>
      <c r="O310" s="157"/>
      <c r="P310" s="157"/>
      <c r="Q310" s="157"/>
      <c r="R310" s="157"/>
      <c r="S310" s="157"/>
      <c r="T310" s="158"/>
      <c r="U310" s="168"/>
    </row>
    <row r="311" spans="1:21" ht="21" x14ac:dyDescent="0.2">
      <c r="A311" s="189" t="s">
        <v>73</v>
      </c>
      <c r="B311" s="170" t="s">
        <v>66</v>
      </c>
      <c r="C311" s="171">
        <v>1</v>
      </c>
      <c r="D311" s="183"/>
      <c r="E311" s="183"/>
      <c r="F311" s="187"/>
      <c r="G311" s="184" t="s">
        <v>705</v>
      </c>
      <c r="H311" s="151"/>
      <c r="I311" s="151"/>
      <c r="J311" s="151"/>
      <c r="K311" s="151"/>
      <c r="L311" s="156"/>
      <c r="M311" s="157"/>
      <c r="N311" s="157"/>
      <c r="O311" s="157"/>
      <c r="P311" s="157"/>
      <c r="Q311" s="157"/>
      <c r="R311" s="157"/>
      <c r="S311" s="157"/>
      <c r="T311" s="158"/>
      <c r="U311" s="168"/>
    </row>
    <row r="312" spans="1:21" ht="12.75" x14ac:dyDescent="0.2">
      <c r="A312" s="223"/>
      <c r="B312" s="222"/>
      <c r="C312" s="171"/>
      <c r="D312" s="183"/>
      <c r="E312" s="183"/>
      <c r="F312" s="187"/>
      <c r="G312" s="184"/>
      <c r="H312" s="151"/>
      <c r="I312" s="151"/>
      <c r="J312" s="151"/>
      <c r="K312" s="151"/>
      <c r="L312" s="156"/>
      <c r="M312" s="157"/>
      <c r="N312" s="157"/>
      <c r="O312" s="157"/>
      <c r="P312" s="157"/>
      <c r="Q312" s="157"/>
      <c r="R312" s="157"/>
      <c r="S312" s="157"/>
      <c r="T312" s="158"/>
      <c r="U312" s="168"/>
    </row>
    <row r="313" spans="1:21" ht="12.75" x14ac:dyDescent="0.2">
      <c r="A313" s="175" t="s">
        <v>223</v>
      </c>
      <c r="B313" s="170" t="s">
        <v>66</v>
      </c>
      <c r="C313" s="171">
        <v>1</v>
      </c>
      <c r="D313" s="183"/>
      <c r="E313" s="183"/>
      <c r="F313" s="187"/>
      <c r="G313" s="184" t="s">
        <v>705</v>
      </c>
      <c r="H313" s="151"/>
      <c r="I313" s="151"/>
      <c r="J313" s="151"/>
      <c r="K313" s="151"/>
      <c r="L313" s="156"/>
      <c r="M313" s="157"/>
      <c r="N313" s="157"/>
      <c r="O313" s="157"/>
      <c r="P313" s="157"/>
      <c r="Q313" s="157"/>
      <c r="R313" s="157"/>
      <c r="S313" s="157"/>
      <c r="T313" s="158"/>
      <c r="U313" s="168"/>
    </row>
    <row r="314" spans="1:21" ht="12.75" x14ac:dyDescent="0.2">
      <c r="A314" s="175" t="s">
        <v>67</v>
      </c>
      <c r="B314" s="170"/>
      <c r="C314" s="171"/>
      <c r="D314" s="183"/>
      <c r="E314" s="183"/>
      <c r="F314" s="187"/>
      <c r="G314" s="184"/>
      <c r="H314" s="151"/>
      <c r="I314" s="151"/>
      <c r="J314" s="151"/>
      <c r="K314" s="151"/>
      <c r="L314" s="156"/>
      <c r="M314" s="157"/>
      <c r="N314" s="157"/>
      <c r="O314" s="157"/>
      <c r="P314" s="157"/>
      <c r="Q314" s="157"/>
      <c r="R314" s="157"/>
      <c r="S314" s="157"/>
      <c r="T314" s="158"/>
      <c r="U314" s="168"/>
    </row>
    <row r="315" spans="1:21" ht="31.5" x14ac:dyDescent="0.2">
      <c r="A315" s="189" t="s">
        <v>68</v>
      </c>
      <c r="B315" s="170" t="s">
        <v>66</v>
      </c>
      <c r="C315" s="171">
        <v>1</v>
      </c>
      <c r="D315" s="183"/>
      <c r="E315" s="183"/>
      <c r="F315" s="187"/>
      <c r="G315" s="184" t="s">
        <v>705</v>
      </c>
      <c r="H315" s="151"/>
      <c r="I315" s="151"/>
      <c r="J315" s="151"/>
      <c r="K315" s="151"/>
      <c r="L315" s="156"/>
      <c r="M315" s="157"/>
      <c r="N315" s="157"/>
      <c r="O315" s="157"/>
      <c r="P315" s="157"/>
      <c r="Q315" s="157"/>
      <c r="R315" s="157"/>
      <c r="S315" s="157"/>
      <c r="T315" s="158"/>
      <c r="U315" s="168"/>
    </row>
    <row r="316" spans="1:21" ht="21" x14ac:dyDescent="0.2">
      <c r="A316" s="189" t="s">
        <v>70</v>
      </c>
      <c r="B316" s="170" t="s">
        <v>66</v>
      </c>
      <c r="C316" s="171">
        <v>1</v>
      </c>
      <c r="D316" s="183"/>
      <c r="E316" s="183"/>
      <c r="F316" s="187"/>
      <c r="G316" s="184" t="s">
        <v>705</v>
      </c>
      <c r="H316" s="151"/>
      <c r="I316" s="151"/>
      <c r="J316" s="151"/>
      <c r="K316" s="151"/>
      <c r="L316" s="156"/>
      <c r="M316" s="157"/>
      <c r="N316" s="157"/>
      <c r="O316" s="157"/>
      <c r="P316" s="157"/>
      <c r="Q316" s="157"/>
      <c r="R316" s="157"/>
      <c r="S316" s="157"/>
      <c r="T316" s="158"/>
      <c r="U316" s="168"/>
    </row>
    <row r="317" spans="1:21" ht="21" x14ac:dyDescent="0.2">
      <c r="A317" s="189" t="s">
        <v>74</v>
      </c>
      <c r="B317" s="170" t="s">
        <v>66</v>
      </c>
      <c r="C317" s="171">
        <v>1</v>
      </c>
      <c r="D317" s="183"/>
      <c r="E317" s="183"/>
      <c r="F317" s="187"/>
      <c r="G317" s="184" t="s">
        <v>705</v>
      </c>
      <c r="H317" s="151"/>
      <c r="I317" s="151"/>
      <c r="J317" s="151"/>
      <c r="K317" s="151"/>
      <c r="L317" s="156"/>
      <c r="M317" s="157"/>
      <c r="N317" s="157"/>
      <c r="O317" s="157"/>
      <c r="P317" s="157"/>
      <c r="Q317" s="157"/>
      <c r="R317" s="157"/>
      <c r="S317" s="157"/>
      <c r="T317" s="158"/>
      <c r="U317" s="168"/>
    </row>
    <row r="318" spans="1:21" ht="12.75" x14ac:dyDescent="0.2">
      <c r="A318" s="189" t="s">
        <v>72</v>
      </c>
      <c r="B318" s="170" t="s">
        <v>66</v>
      </c>
      <c r="C318" s="171">
        <v>1</v>
      </c>
      <c r="D318" s="183"/>
      <c r="E318" s="183"/>
      <c r="F318" s="187"/>
      <c r="G318" s="184" t="s">
        <v>705</v>
      </c>
      <c r="H318" s="151"/>
      <c r="I318" s="151"/>
      <c r="J318" s="151"/>
      <c r="K318" s="151"/>
      <c r="L318" s="156"/>
      <c r="M318" s="157"/>
      <c r="N318" s="157"/>
      <c r="O318" s="157"/>
      <c r="P318" s="157"/>
      <c r="Q318" s="157"/>
      <c r="R318" s="157"/>
      <c r="S318" s="157"/>
      <c r="T318" s="158"/>
      <c r="U318" s="168"/>
    </row>
    <row r="319" spans="1:21" ht="21" x14ac:dyDescent="0.2">
      <c r="A319" s="189" t="s">
        <v>73</v>
      </c>
      <c r="B319" s="170" t="s">
        <v>66</v>
      </c>
      <c r="C319" s="171">
        <v>1</v>
      </c>
      <c r="D319" s="183"/>
      <c r="E319" s="183"/>
      <c r="F319" s="187"/>
      <c r="G319" s="184" t="s">
        <v>705</v>
      </c>
      <c r="H319" s="151"/>
      <c r="I319" s="151"/>
      <c r="J319" s="151"/>
      <c r="K319" s="151"/>
      <c r="L319" s="156"/>
      <c r="M319" s="157"/>
      <c r="N319" s="157"/>
      <c r="O319" s="157"/>
      <c r="P319" s="157"/>
      <c r="Q319" s="157"/>
      <c r="R319" s="157"/>
      <c r="S319" s="157"/>
      <c r="T319" s="158"/>
      <c r="U319" s="168"/>
    </row>
    <row r="320" spans="1:21" ht="12.75" x14ac:dyDescent="0.2">
      <c r="A320" s="223"/>
      <c r="B320" s="222"/>
      <c r="C320" s="171"/>
      <c r="D320" s="183"/>
      <c r="E320" s="183"/>
      <c r="F320" s="187"/>
      <c r="G320" s="184"/>
      <c r="H320" s="151"/>
      <c r="I320" s="151"/>
      <c r="J320" s="151"/>
      <c r="K320" s="151"/>
      <c r="L320" s="156"/>
      <c r="M320" s="157"/>
      <c r="N320" s="157"/>
      <c r="O320" s="157"/>
      <c r="P320" s="157"/>
      <c r="Q320" s="157"/>
      <c r="R320" s="157"/>
      <c r="S320" s="157"/>
      <c r="T320" s="158"/>
      <c r="U320" s="168"/>
    </row>
    <row r="321" spans="1:21" ht="12.75" x14ac:dyDescent="0.2">
      <c r="A321" s="224"/>
      <c r="B321" s="222"/>
      <c r="C321" s="171"/>
      <c r="D321" s="183"/>
      <c r="E321" s="183"/>
      <c r="F321" s="187"/>
      <c r="G321" s="184"/>
      <c r="H321" s="151"/>
      <c r="I321" s="151"/>
      <c r="J321" s="151"/>
      <c r="K321" s="151"/>
      <c r="L321" s="156"/>
      <c r="M321" s="157"/>
      <c r="N321" s="157"/>
      <c r="O321" s="157"/>
      <c r="P321" s="157"/>
      <c r="Q321" s="157"/>
      <c r="R321" s="157"/>
      <c r="S321" s="157"/>
      <c r="T321" s="158"/>
      <c r="U321" s="168"/>
    </row>
    <row r="322" spans="1:21" ht="12.75" x14ac:dyDescent="0.2">
      <c r="A322" s="223"/>
      <c r="B322" s="222"/>
      <c r="C322" s="171"/>
      <c r="D322" s="183"/>
      <c r="E322" s="183"/>
      <c r="F322" s="187"/>
      <c r="G322" s="184"/>
      <c r="H322" s="151"/>
      <c r="I322" s="151"/>
      <c r="J322" s="151"/>
      <c r="K322" s="151"/>
      <c r="L322" s="156"/>
      <c r="M322" s="157"/>
      <c r="N322" s="157"/>
      <c r="O322" s="157"/>
      <c r="P322" s="157"/>
      <c r="Q322" s="157"/>
      <c r="R322" s="157"/>
      <c r="S322" s="157"/>
      <c r="T322" s="158"/>
      <c r="U322" s="168"/>
    </row>
    <row r="323" spans="1:21" ht="12.75" x14ac:dyDescent="0.2">
      <c r="A323" s="223"/>
      <c r="B323" s="222"/>
      <c r="C323" s="171"/>
      <c r="D323" s="183"/>
      <c r="E323" s="183"/>
      <c r="F323" s="187"/>
      <c r="G323" s="184"/>
      <c r="H323" s="151"/>
      <c r="I323" s="151"/>
      <c r="J323" s="151"/>
      <c r="K323" s="151"/>
      <c r="L323" s="156"/>
      <c r="M323" s="157"/>
      <c r="N323" s="157"/>
      <c r="O323" s="157"/>
      <c r="P323" s="157"/>
      <c r="Q323" s="157"/>
      <c r="R323" s="157"/>
      <c r="S323" s="157"/>
      <c r="T323" s="158"/>
      <c r="U323" s="168"/>
    </row>
    <row r="324" spans="1:21" ht="12.75" x14ac:dyDescent="0.2">
      <c r="A324" s="223"/>
      <c r="B324" s="222"/>
      <c r="C324" s="171"/>
      <c r="D324" s="183"/>
      <c r="E324" s="183"/>
      <c r="F324" s="187"/>
      <c r="G324" s="184"/>
      <c r="H324" s="151"/>
      <c r="I324" s="151"/>
      <c r="J324" s="151"/>
      <c r="K324" s="151"/>
      <c r="L324" s="156"/>
      <c r="M324" s="157"/>
      <c r="N324" s="157"/>
      <c r="O324" s="157"/>
      <c r="P324" s="157"/>
      <c r="Q324" s="157"/>
      <c r="R324" s="157"/>
      <c r="S324" s="157"/>
      <c r="T324" s="158"/>
      <c r="U324" s="168"/>
    </row>
    <row r="325" spans="1:21" ht="12.75" x14ac:dyDescent="0.2">
      <c r="A325" s="223"/>
      <c r="B325" s="222"/>
      <c r="C325" s="171"/>
      <c r="D325" s="183"/>
      <c r="E325" s="183"/>
      <c r="F325" s="187"/>
      <c r="G325" s="184"/>
      <c r="H325" s="151"/>
      <c r="I325" s="151"/>
      <c r="J325" s="151"/>
      <c r="K325" s="151"/>
      <c r="L325" s="156"/>
      <c r="M325" s="157"/>
      <c r="N325" s="157"/>
      <c r="O325" s="157"/>
      <c r="P325" s="157"/>
      <c r="Q325" s="157"/>
      <c r="R325" s="157"/>
      <c r="S325" s="157"/>
      <c r="T325" s="158"/>
      <c r="U325" s="168"/>
    </row>
    <row r="326" spans="1:21" ht="12.75" x14ac:dyDescent="0.2">
      <c r="A326" s="191" t="s">
        <v>474</v>
      </c>
      <c r="B326" s="170"/>
      <c r="C326" s="171"/>
      <c r="D326" s="183"/>
      <c r="E326" s="183"/>
      <c r="F326" s="187"/>
      <c r="G326" s="184"/>
      <c r="H326" s="151"/>
      <c r="I326" s="151"/>
      <c r="J326" s="151"/>
      <c r="K326" s="151"/>
      <c r="L326" s="156"/>
      <c r="M326" s="157"/>
      <c r="N326" s="157"/>
      <c r="O326" s="157"/>
      <c r="P326" s="157"/>
      <c r="Q326" s="157"/>
      <c r="R326" s="157"/>
      <c r="S326" s="157"/>
      <c r="T326" s="158"/>
      <c r="U326" s="168"/>
    </row>
    <row r="327" spans="1:21" ht="12.75" x14ac:dyDescent="0.2">
      <c r="A327" s="175" t="s">
        <v>224</v>
      </c>
      <c r="B327" s="170" t="s">
        <v>66</v>
      </c>
      <c r="C327" s="171">
        <v>1</v>
      </c>
      <c r="D327" s="183"/>
      <c r="E327" s="183"/>
      <c r="F327" s="187"/>
      <c r="G327" s="184" t="s">
        <v>705</v>
      </c>
      <c r="H327" s="151"/>
      <c r="I327" s="151"/>
      <c r="J327" s="151"/>
      <c r="K327" s="151"/>
      <c r="L327" s="156"/>
      <c r="M327" s="157"/>
      <c r="N327" s="157"/>
      <c r="O327" s="157"/>
      <c r="P327" s="157"/>
      <c r="Q327" s="157"/>
      <c r="R327" s="157"/>
      <c r="S327" s="157"/>
      <c r="T327" s="158"/>
      <c r="U327" s="168"/>
    </row>
    <row r="328" spans="1:21" ht="12.75" x14ac:dyDescent="0.2">
      <c r="A328" s="175" t="s">
        <v>67</v>
      </c>
      <c r="B328" s="170"/>
      <c r="C328" s="171"/>
      <c r="D328" s="183"/>
      <c r="E328" s="183"/>
      <c r="F328" s="187"/>
      <c r="G328" s="184"/>
      <c r="H328" s="151"/>
      <c r="I328" s="151"/>
      <c r="J328" s="151"/>
      <c r="K328" s="151"/>
      <c r="L328" s="156"/>
      <c r="M328" s="157"/>
      <c r="N328" s="157"/>
      <c r="O328" s="157"/>
      <c r="P328" s="157"/>
      <c r="Q328" s="157"/>
      <c r="R328" s="157"/>
      <c r="S328" s="157"/>
      <c r="T328" s="158"/>
      <c r="U328" s="168"/>
    </row>
    <row r="329" spans="1:21" ht="31.5" x14ac:dyDescent="0.2">
      <c r="A329" s="189" t="s">
        <v>68</v>
      </c>
      <c r="B329" s="170" t="s">
        <v>66</v>
      </c>
      <c r="C329" s="171">
        <v>1</v>
      </c>
      <c r="D329" s="183"/>
      <c r="E329" s="183"/>
      <c r="F329" s="187"/>
      <c r="G329" s="184" t="s">
        <v>705</v>
      </c>
      <c r="H329" s="151"/>
      <c r="I329" s="151"/>
      <c r="J329" s="151"/>
      <c r="K329" s="151"/>
      <c r="L329" s="156"/>
      <c r="M329" s="157"/>
      <c r="N329" s="157"/>
      <c r="O329" s="157"/>
      <c r="P329" s="157"/>
      <c r="Q329" s="157"/>
      <c r="R329" s="157"/>
      <c r="S329" s="157"/>
      <c r="T329" s="158"/>
      <c r="U329" s="168"/>
    </row>
    <row r="330" spans="1:21" ht="12.75" x14ac:dyDescent="0.2">
      <c r="A330" s="189" t="s">
        <v>69</v>
      </c>
      <c r="B330" s="170" t="s">
        <v>66</v>
      </c>
      <c r="C330" s="171">
        <v>1</v>
      </c>
      <c r="D330" s="183"/>
      <c r="E330" s="183"/>
      <c r="F330" s="187"/>
      <c r="G330" s="184" t="s">
        <v>705</v>
      </c>
      <c r="H330" s="151"/>
      <c r="I330" s="151"/>
      <c r="J330" s="151"/>
      <c r="K330" s="151"/>
      <c r="L330" s="156"/>
      <c r="M330" s="157"/>
      <c r="N330" s="157"/>
      <c r="O330" s="157"/>
      <c r="P330" s="157"/>
      <c r="Q330" s="157"/>
      <c r="R330" s="157"/>
      <c r="S330" s="157"/>
      <c r="T330" s="158"/>
      <c r="U330" s="168"/>
    </row>
    <row r="331" spans="1:21" ht="21" x14ac:dyDescent="0.2">
      <c r="A331" s="189" t="s">
        <v>70</v>
      </c>
      <c r="B331" s="170" t="s">
        <v>66</v>
      </c>
      <c r="C331" s="171">
        <v>1</v>
      </c>
      <c r="D331" s="183"/>
      <c r="E331" s="183"/>
      <c r="F331" s="187"/>
      <c r="G331" s="184" t="s">
        <v>705</v>
      </c>
      <c r="H331" s="151"/>
      <c r="I331" s="151"/>
      <c r="J331" s="151"/>
      <c r="K331" s="151"/>
      <c r="L331" s="156"/>
      <c r="M331" s="157"/>
      <c r="N331" s="157"/>
      <c r="O331" s="157"/>
      <c r="P331" s="157"/>
      <c r="Q331" s="157"/>
      <c r="R331" s="157"/>
      <c r="S331" s="157"/>
      <c r="T331" s="158"/>
      <c r="U331" s="168"/>
    </row>
    <row r="332" spans="1:21" ht="21" x14ac:dyDescent="0.2">
      <c r="A332" s="189" t="s">
        <v>71</v>
      </c>
      <c r="B332" s="170" t="s">
        <v>66</v>
      </c>
      <c r="C332" s="171">
        <v>1</v>
      </c>
      <c r="D332" s="183"/>
      <c r="E332" s="183"/>
      <c r="F332" s="187"/>
      <c r="G332" s="184" t="s">
        <v>705</v>
      </c>
      <c r="H332" s="151"/>
      <c r="I332" s="151"/>
      <c r="J332" s="151"/>
      <c r="K332" s="151"/>
      <c r="L332" s="156"/>
      <c r="M332" s="157"/>
      <c r="N332" s="157"/>
      <c r="O332" s="157"/>
      <c r="P332" s="157"/>
      <c r="Q332" s="157"/>
      <c r="R332" s="157"/>
      <c r="S332" s="157"/>
      <c r="T332" s="158"/>
      <c r="U332" s="168"/>
    </row>
    <row r="333" spans="1:21" ht="12.75" x14ac:dyDescent="0.2">
      <c r="A333" s="189" t="s">
        <v>72</v>
      </c>
      <c r="B333" s="170" t="s">
        <v>66</v>
      </c>
      <c r="C333" s="171">
        <v>1</v>
      </c>
      <c r="D333" s="183"/>
      <c r="E333" s="183"/>
      <c r="F333" s="187"/>
      <c r="G333" s="184" t="s">
        <v>705</v>
      </c>
      <c r="H333" s="151"/>
      <c r="I333" s="151"/>
      <c r="J333" s="151"/>
      <c r="K333" s="151"/>
      <c r="L333" s="156"/>
      <c r="M333" s="157"/>
      <c r="N333" s="157"/>
      <c r="O333" s="157"/>
      <c r="P333" s="157"/>
      <c r="Q333" s="157"/>
      <c r="R333" s="157"/>
      <c r="S333" s="157"/>
      <c r="T333" s="158"/>
      <c r="U333" s="168"/>
    </row>
    <row r="334" spans="1:21" ht="21" x14ac:dyDescent="0.2">
      <c r="A334" s="189" t="s">
        <v>73</v>
      </c>
      <c r="B334" s="170" t="s">
        <v>66</v>
      </c>
      <c r="C334" s="171">
        <v>1</v>
      </c>
      <c r="D334" s="183"/>
      <c r="E334" s="183"/>
      <c r="F334" s="187"/>
      <c r="G334" s="184" t="s">
        <v>705</v>
      </c>
      <c r="H334" s="151"/>
      <c r="I334" s="151"/>
      <c r="J334" s="151"/>
      <c r="K334" s="151"/>
      <c r="L334" s="156"/>
      <c r="M334" s="157"/>
      <c r="N334" s="157"/>
      <c r="O334" s="157"/>
      <c r="P334" s="157"/>
      <c r="Q334" s="157"/>
      <c r="R334" s="157"/>
      <c r="S334" s="157"/>
      <c r="T334" s="158"/>
      <c r="U334" s="168"/>
    </row>
    <row r="335" spans="1:21" ht="12.75" x14ac:dyDescent="0.2">
      <c r="A335" s="223"/>
      <c r="B335" s="222"/>
      <c r="C335" s="171"/>
      <c r="D335" s="183"/>
      <c r="E335" s="183"/>
      <c r="F335" s="187"/>
      <c r="G335" s="184"/>
      <c r="H335" s="151"/>
      <c r="I335" s="151"/>
      <c r="J335" s="151"/>
      <c r="K335" s="151"/>
      <c r="L335" s="156"/>
      <c r="M335" s="157"/>
      <c r="N335" s="157"/>
      <c r="O335" s="157"/>
      <c r="P335" s="157"/>
      <c r="Q335" s="157"/>
      <c r="R335" s="157"/>
      <c r="S335" s="157"/>
      <c r="T335" s="158"/>
      <c r="U335" s="168"/>
    </row>
    <row r="336" spans="1:21" ht="12.75" x14ac:dyDescent="0.2">
      <c r="A336" s="175" t="s">
        <v>223</v>
      </c>
      <c r="B336" s="170" t="s">
        <v>66</v>
      </c>
      <c r="C336" s="171">
        <v>1</v>
      </c>
      <c r="D336" s="183"/>
      <c r="E336" s="183"/>
      <c r="F336" s="187"/>
      <c r="G336" s="184" t="s">
        <v>705</v>
      </c>
      <c r="H336" s="151"/>
      <c r="I336" s="151"/>
      <c r="J336" s="151"/>
      <c r="K336" s="151"/>
      <c r="L336" s="156"/>
      <c r="M336" s="157"/>
      <c r="N336" s="157"/>
      <c r="O336" s="157"/>
      <c r="P336" s="157"/>
      <c r="Q336" s="157"/>
      <c r="R336" s="157"/>
      <c r="S336" s="157"/>
      <c r="T336" s="158"/>
      <c r="U336" s="168"/>
    </row>
    <row r="337" spans="1:21" ht="12.75" x14ac:dyDescent="0.2">
      <c r="A337" s="175" t="s">
        <v>67</v>
      </c>
      <c r="B337" s="170"/>
      <c r="C337" s="171"/>
      <c r="D337" s="183"/>
      <c r="E337" s="183"/>
      <c r="F337" s="187"/>
      <c r="G337" s="184"/>
      <c r="H337" s="151"/>
      <c r="I337" s="151"/>
      <c r="J337" s="151"/>
      <c r="K337" s="151"/>
      <c r="L337" s="156"/>
      <c r="M337" s="157"/>
      <c r="N337" s="157"/>
      <c r="O337" s="157"/>
      <c r="P337" s="157"/>
      <c r="Q337" s="157"/>
      <c r="R337" s="157"/>
      <c r="S337" s="157"/>
      <c r="T337" s="158"/>
      <c r="U337" s="168"/>
    </row>
    <row r="338" spans="1:21" ht="31.5" x14ac:dyDescent="0.2">
      <c r="A338" s="189" t="s">
        <v>68</v>
      </c>
      <c r="B338" s="170" t="s">
        <v>66</v>
      </c>
      <c r="C338" s="171">
        <v>1</v>
      </c>
      <c r="D338" s="183"/>
      <c r="E338" s="183"/>
      <c r="F338" s="187"/>
      <c r="G338" s="184" t="s">
        <v>705</v>
      </c>
      <c r="H338" s="151"/>
      <c r="I338" s="151"/>
      <c r="J338" s="151"/>
      <c r="K338" s="151"/>
      <c r="L338" s="156"/>
      <c r="M338" s="157"/>
      <c r="N338" s="157"/>
      <c r="O338" s="157"/>
      <c r="P338" s="157"/>
      <c r="Q338" s="157"/>
      <c r="R338" s="157"/>
      <c r="S338" s="157"/>
      <c r="T338" s="158"/>
      <c r="U338" s="168"/>
    </row>
    <row r="339" spans="1:21" ht="21" x14ac:dyDescent="0.2">
      <c r="A339" s="189" t="s">
        <v>70</v>
      </c>
      <c r="B339" s="170" t="s">
        <v>66</v>
      </c>
      <c r="C339" s="171">
        <v>1</v>
      </c>
      <c r="D339" s="183"/>
      <c r="E339" s="183"/>
      <c r="F339" s="187"/>
      <c r="G339" s="184" t="s">
        <v>705</v>
      </c>
      <c r="H339" s="151"/>
      <c r="I339" s="151"/>
      <c r="J339" s="151"/>
      <c r="K339" s="151"/>
      <c r="L339" s="156"/>
      <c r="M339" s="157"/>
      <c r="N339" s="157"/>
      <c r="O339" s="157"/>
      <c r="P339" s="157"/>
      <c r="Q339" s="157"/>
      <c r="R339" s="157"/>
      <c r="S339" s="157"/>
      <c r="T339" s="158"/>
      <c r="U339" s="168"/>
    </row>
    <row r="340" spans="1:21" ht="21" x14ac:dyDescent="0.2">
      <c r="A340" s="189" t="s">
        <v>74</v>
      </c>
      <c r="B340" s="170" t="s">
        <v>66</v>
      </c>
      <c r="C340" s="171">
        <v>1</v>
      </c>
      <c r="D340" s="183"/>
      <c r="E340" s="183"/>
      <c r="F340" s="187"/>
      <c r="G340" s="184" t="s">
        <v>705</v>
      </c>
      <c r="H340" s="151"/>
      <c r="I340" s="151"/>
      <c r="J340" s="151"/>
      <c r="K340" s="151"/>
      <c r="L340" s="156"/>
      <c r="M340" s="157"/>
      <c r="N340" s="157"/>
      <c r="O340" s="157"/>
      <c r="P340" s="157"/>
      <c r="Q340" s="157"/>
      <c r="R340" s="157"/>
      <c r="S340" s="157"/>
      <c r="T340" s="158"/>
      <c r="U340" s="168"/>
    </row>
    <row r="341" spans="1:21" ht="12.75" x14ac:dyDescent="0.2">
      <c r="A341" s="189" t="s">
        <v>72</v>
      </c>
      <c r="B341" s="170" t="s">
        <v>66</v>
      </c>
      <c r="C341" s="171">
        <v>1</v>
      </c>
      <c r="D341" s="183"/>
      <c r="E341" s="183"/>
      <c r="F341" s="187"/>
      <c r="G341" s="184" t="s">
        <v>705</v>
      </c>
      <c r="H341" s="151"/>
      <c r="I341" s="151"/>
      <c r="J341" s="151"/>
      <c r="K341" s="151"/>
      <c r="L341" s="156"/>
      <c r="M341" s="157"/>
      <c r="N341" s="157"/>
      <c r="O341" s="157"/>
      <c r="P341" s="157"/>
      <c r="Q341" s="157"/>
      <c r="R341" s="157"/>
      <c r="S341" s="157"/>
      <c r="T341" s="158"/>
      <c r="U341" s="168"/>
    </row>
    <row r="342" spans="1:21" ht="21" x14ac:dyDescent="0.2">
      <c r="A342" s="189" t="s">
        <v>73</v>
      </c>
      <c r="B342" s="170" t="s">
        <v>66</v>
      </c>
      <c r="C342" s="171">
        <v>1</v>
      </c>
      <c r="D342" s="183"/>
      <c r="E342" s="183"/>
      <c r="F342" s="187"/>
      <c r="G342" s="184" t="s">
        <v>705</v>
      </c>
      <c r="H342" s="151"/>
      <c r="I342" s="151"/>
      <c r="J342" s="151"/>
      <c r="K342" s="151"/>
      <c r="L342" s="156"/>
      <c r="M342" s="157"/>
      <c r="N342" s="157"/>
      <c r="O342" s="157"/>
      <c r="P342" s="157"/>
      <c r="Q342" s="157"/>
      <c r="R342" s="157"/>
      <c r="S342" s="157"/>
      <c r="T342" s="158"/>
      <c r="U342" s="168"/>
    </row>
    <row r="343" spans="1:21" ht="12.75" x14ac:dyDescent="0.2">
      <c r="A343" s="223"/>
      <c r="B343" s="222"/>
      <c r="C343" s="225"/>
      <c r="D343" s="226"/>
      <c r="E343" s="226"/>
      <c r="F343" s="226"/>
      <c r="G343" s="227"/>
      <c r="H343" s="152"/>
      <c r="I343" s="152"/>
      <c r="J343" s="152"/>
      <c r="K343" s="152"/>
      <c r="L343" s="156"/>
      <c r="M343" s="157"/>
      <c r="N343" s="157"/>
      <c r="O343" s="157"/>
      <c r="P343" s="157"/>
      <c r="Q343" s="157"/>
      <c r="R343" s="157"/>
      <c r="S343" s="157"/>
      <c r="T343" s="158"/>
      <c r="U343" s="168"/>
    </row>
    <row r="344" spans="1:21" ht="12.75" x14ac:dyDescent="0.2">
      <c r="A344" s="214"/>
      <c r="B344" s="214"/>
      <c r="C344" s="225"/>
      <c r="D344" s="228"/>
      <c r="E344" s="228"/>
      <c r="F344" s="228"/>
      <c r="G344" s="229"/>
      <c r="H344" s="152"/>
      <c r="I344" s="152"/>
      <c r="J344" s="152"/>
      <c r="K344" s="152"/>
      <c r="L344" s="156"/>
      <c r="M344" s="157"/>
      <c r="N344" s="157"/>
      <c r="O344" s="157"/>
      <c r="P344" s="157"/>
      <c r="Q344" s="157"/>
      <c r="R344" s="157"/>
      <c r="S344" s="157"/>
      <c r="T344" s="158"/>
      <c r="U344" s="168"/>
    </row>
    <row r="345" spans="1:21" ht="14.25" x14ac:dyDescent="0.2">
      <c r="A345" s="217" t="s">
        <v>304</v>
      </c>
      <c r="B345" s="186"/>
      <c r="C345" s="225"/>
      <c r="D345" s="230"/>
      <c r="E345" s="230"/>
      <c r="F345" s="230"/>
      <c r="G345" s="227"/>
      <c r="H345" s="152"/>
      <c r="I345" s="152"/>
      <c r="J345" s="152"/>
      <c r="K345" s="152"/>
      <c r="L345" s="159"/>
      <c r="M345" s="157"/>
      <c r="N345" s="157"/>
      <c r="O345" s="157"/>
      <c r="P345" s="157"/>
      <c r="Q345" s="157"/>
      <c r="R345" s="157"/>
      <c r="S345" s="157"/>
      <c r="T345" s="158"/>
      <c r="U345" s="168"/>
    </row>
    <row r="346" spans="1:21" ht="21" x14ac:dyDescent="0.2">
      <c r="A346" s="191" t="s">
        <v>186</v>
      </c>
      <c r="B346" s="170" t="s">
        <v>482</v>
      </c>
      <c r="C346" s="171">
        <v>1</v>
      </c>
      <c r="D346" s="181"/>
      <c r="E346" s="181"/>
      <c r="F346" s="181"/>
      <c r="G346" s="192" t="s">
        <v>705</v>
      </c>
      <c r="H346" s="151"/>
      <c r="I346" s="151"/>
      <c r="J346" s="151"/>
      <c r="K346" s="151"/>
      <c r="L346" s="156"/>
      <c r="M346" s="157"/>
      <c r="N346" s="157"/>
      <c r="O346" s="157"/>
      <c r="P346" s="157"/>
      <c r="Q346" s="157"/>
      <c r="R346" s="157"/>
      <c r="S346" s="157"/>
      <c r="T346" s="158"/>
      <c r="U346" s="168"/>
    </row>
    <row r="347" spans="1:21" ht="21" x14ac:dyDescent="0.2">
      <c r="A347" s="169" t="s">
        <v>76</v>
      </c>
      <c r="B347" s="170"/>
      <c r="C347" s="171"/>
      <c r="D347" s="187"/>
      <c r="E347" s="187"/>
      <c r="F347" s="187"/>
      <c r="G347" s="193"/>
      <c r="H347" s="151"/>
      <c r="I347" s="151"/>
      <c r="J347" s="151"/>
      <c r="K347" s="151"/>
      <c r="L347" s="156"/>
      <c r="M347" s="157"/>
      <c r="N347" s="157"/>
      <c r="O347" s="157"/>
      <c r="P347" s="157"/>
      <c r="Q347" s="157"/>
      <c r="R347" s="157"/>
      <c r="S347" s="157"/>
      <c r="T347" s="158"/>
      <c r="U347" s="168"/>
    </row>
    <row r="348" spans="1:21" ht="12.75" x14ac:dyDescent="0.2">
      <c r="A348" s="175" t="s">
        <v>77</v>
      </c>
      <c r="B348" s="170" t="s">
        <v>472</v>
      </c>
      <c r="C348" s="171">
        <v>1</v>
      </c>
      <c r="D348" s="187"/>
      <c r="E348" s="187"/>
      <c r="F348" s="187"/>
      <c r="G348" s="193" t="s">
        <v>705</v>
      </c>
      <c r="H348" s="151"/>
      <c r="I348" s="151"/>
      <c r="J348" s="151"/>
      <c r="K348" s="151"/>
      <c r="L348" s="156"/>
      <c r="M348" s="157"/>
      <c r="N348" s="157"/>
      <c r="O348" s="157"/>
      <c r="P348" s="157"/>
      <c r="Q348" s="157"/>
      <c r="R348" s="157"/>
      <c r="S348" s="157"/>
      <c r="T348" s="158"/>
      <c r="U348" s="168"/>
    </row>
    <row r="349" spans="1:21" ht="12.75" x14ac:dyDescent="0.2">
      <c r="A349" s="175" t="s">
        <v>78</v>
      </c>
      <c r="B349" s="170" t="s">
        <v>472</v>
      </c>
      <c r="C349" s="171">
        <v>1</v>
      </c>
      <c r="D349" s="187"/>
      <c r="E349" s="187"/>
      <c r="F349" s="187"/>
      <c r="G349" s="193" t="s">
        <v>705</v>
      </c>
      <c r="H349" s="151"/>
      <c r="I349" s="151"/>
      <c r="J349" s="151"/>
      <c r="K349" s="151"/>
      <c r="L349" s="156"/>
      <c r="M349" s="157"/>
      <c r="N349" s="157"/>
      <c r="O349" s="157"/>
      <c r="P349" s="157"/>
      <c r="Q349" s="157"/>
      <c r="R349" s="157"/>
      <c r="S349" s="157"/>
      <c r="T349" s="158"/>
      <c r="U349" s="168"/>
    </row>
    <row r="350" spans="1:21" ht="21" x14ac:dyDescent="0.2">
      <c r="A350" s="175" t="s">
        <v>79</v>
      </c>
      <c r="B350" s="170" t="s">
        <v>472</v>
      </c>
      <c r="C350" s="171">
        <v>1</v>
      </c>
      <c r="D350" s="187"/>
      <c r="E350" s="187"/>
      <c r="F350" s="187"/>
      <c r="G350" s="193" t="s">
        <v>705</v>
      </c>
      <c r="H350" s="151"/>
      <c r="I350" s="151"/>
      <c r="J350" s="151"/>
      <c r="K350" s="151"/>
      <c r="L350" s="156"/>
      <c r="M350" s="157"/>
      <c r="N350" s="157"/>
      <c r="O350" s="157"/>
      <c r="P350" s="157"/>
      <c r="Q350" s="157"/>
      <c r="R350" s="157"/>
      <c r="S350" s="157"/>
      <c r="T350" s="158"/>
      <c r="U350" s="168"/>
    </row>
    <row r="351" spans="1:21" ht="12.75" x14ac:dyDescent="0.2">
      <c r="A351" s="175" t="s">
        <v>80</v>
      </c>
      <c r="B351" s="170" t="s">
        <v>472</v>
      </c>
      <c r="C351" s="171">
        <v>1</v>
      </c>
      <c r="D351" s="187"/>
      <c r="E351" s="187"/>
      <c r="F351" s="187"/>
      <c r="G351" s="193" t="s">
        <v>705</v>
      </c>
      <c r="H351" s="151"/>
      <c r="I351" s="151"/>
      <c r="J351" s="151"/>
      <c r="K351" s="151"/>
      <c r="L351" s="156"/>
      <c r="M351" s="157"/>
      <c r="N351" s="157"/>
      <c r="O351" s="157"/>
      <c r="P351" s="157"/>
      <c r="Q351" s="157"/>
      <c r="R351" s="157"/>
      <c r="S351" s="157"/>
      <c r="T351" s="158"/>
      <c r="U351" s="168"/>
    </row>
    <row r="352" spans="1:21" ht="42" x14ac:dyDescent="0.2">
      <c r="A352" s="175" t="s">
        <v>81</v>
      </c>
      <c r="B352" s="170" t="s">
        <v>472</v>
      </c>
      <c r="C352" s="171">
        <v>1</v>
      </c>
      <c r="D352" s="187"/>
      <c r="E352" s="187"/>
      <c r="F352" s="187"/>
      <c r="G352" s="193" t="s">
        <v>705</v>
      </c>
      <c r="H352" s="151"/>
      <c r="I352" s="151"/>
      <c r="J352" s="151"/>
      <c r="K352" s="151"/>
      <c r="L352" s="156"/>
      <c r="M352" s="157"/>
      <c r="N352" s="157"/>
      <c r="O352" s="157"/>
      <c r="P352" s="157"/>
      <c r="Q352" s="157"/>
      <c r="R352" s="157"/>
      <c r="S352" s="157"/>
      <c r="T352" s="158"/>
      <c r="U352" s="168"/>
    </row>
    <row r="353" spans="1:21" ht="31.5" x14ac:dyDescent="0.2">
      <c r="A353" s="191" t="s">
        <v>783</v>
      </c>
      <c r="B353" s="170" t="s">
        <v>837</v>
      </c>
      <c r="C353" s="171">
        <v>1</v>
      </c>
      <c r="D353" s="187"/>
      <c r="E353" s="187"/>
      <c r="F353" s="187"/>
      <c r="G353" s="193" t="s">
        <v>705</v>
      </c>
      <c r="H353" s="151"/>
      <c r="I353" s="151"/>
      <c r="J353" s="151"/>
      <c r="K353" s="151"/>
      <c r="L353" s="156"/>
      <c r="M353" s="157"/>
      <c r="N353" s="157"/>
      <c r="O353" s="157"/>
      <c r="P353" s="157"/>
      <c r="Q353" s="157"/>
      <c r="R353" s="157"/>
      <c r="S353" s="157"/>
      <c r="T353" s="158"/>
      <c r="U353" s="168"/>
    </row>
    <row r="354" spans="1:21" ht="21" x14ac:dyDescent="0.2">
      <c r="A354" s="169" t="s">
        <v>76</v>
      </c>
      <c r="B354" s="170"/>
      <c r="C354" s="171"/>
      <c r="D354" s="187"/>
      <c r="E354" s="187"/>
      <c r="F354" s="187"/>
      <c r="G354" s="193"/>
      <c r="H354" s="151"/>
      <c r="I354" s="151"/>
      <c r="J354" s="151"/>
      <c r="K354" s="151"/>
      <c r="L354" s="156"/>
      <c r="M354" s="157"/>
      <c r="N354" s="157"/>
      <c r="O354" s="157"/>
      <c r="P354" s="157"/>
      <c r="Q354" s="157"/>
      <c r="R354" s="157"/>
      <c r="S354" s="157"/>
      <c r="T354" s="158"/>
      <c r="U354" s="168"/>
    </row>
    <row r="355" spans="1:21" ht="12.75" x14ac:dyDescent="0.2">
      <c r="A355" s="175" t="s">
        <v>77</v>
      </c>
      <c r="B355" s="170" t="s">
        <v>837</v>
      </c>
      <c r="C355" s="171">
        <v>1</v>
      </c>
      <c r="D355" s="187"/>
      <c r="E355" s="187"/>
      <c r="F355" s="187"/>
      <c r="G355" s="193" t="s">
        <v>705</v>
      </c>
      <c r="H355" s="151"/>
      <c r="I355" s="151"/>
      <c r="J355" s="151"/>
      <c r="K355" s="151"/>
      <c r="L355" s="156"/>
      <c r="M355" s="157"/>
      <c r="N355" s="157"/>
      <c r="O355" s="157"/>
      <c r="P355" s="157"/>
      <c r="Q355" s="157"/>
      <c r="R355" s="157"/>
      <c r="S355" s="157"/>
      <c r="T355" s="158"/>
      <c r="U355" s="168"/>
    </row>
    <row r="356" spans="1:21" ht="12.75" x14ac:dyDescent="0.2">
      <c r="A356" s="175" t="s">
        <v>78</v>
      </c>
      <c r="B356" s="170" t="s">
        <v>837</v>
      </c>
      <c r="C356" s="171">
        <v>1</v>
      </c>
      <c r="D356" s="187"/>
      <c r="E356" s="187"/>
      <c r="F356" s="187"/>
      <c r="G356" s="193" t="s">
        <v>705</v>
      </c>
      <c r="H356" s="151"/>
      <c r="I356" s="151"/>
      <c r="J356" s="151"/>
      <c r="K356" s="151"/>
      <c r="L356" s="156"/>
      <c r="M356" s="157"/>
      <c r="N356" s="157"/>
      <c r="O356" s="157"/>
      <c r="P356" s="157"/>
      <c r="Q356" s="157"/>
      <c r="R356" s="157"/>
      <c r="S356" s="157"/>
      <c r="T356" s="158"/>
      <c r="U356" s="168"/>
    </row>
    <row r="357" spans="1:21" ht="21" x14ac:dyDescent="0.2">
      <c r="A357" s="175" t="s">
        <v>79</v>
      </c>
      <c r="B357" s="170" t="s">
        <v>837</v>
      </c>
      <c r="C357" s="171">
        <v>1</v>
      </c>
      <c r="D357" s="187"/>
      <c r="E357" s="187"/>
      <c r="F357" s="187"/>
      <c r="G357" s="193" t="s">
        <v>705</v>
      </c>
      <c r="H357" s="151"/>
      <c r="I357" s="151"/>
      <c r="J357" s="151"/>
      <c r="K357" s="151"/>
      <c r="L357" s="156"/>
      <c r="M357" s="157"/>
      <c r="N357" s="157"/>
      <c r="O357" s="157"/>
      <c r="P357" s="157"/>
      <c r="Q357" s="157"/>
      <c r="R357" s="157"/>
      <c r="S357" s="157"/>
      <c r="T357" s="158"/>
      <c r="U357" s="168"/>
    </row>
    <row r="358" spans="1:21" ht="12.75" x14ac:dyDescent="0.2">
      <c r="A358" s="175" t="s">
        <v>80</v>
      </c>
      <c r="B358" s="170" t="s">
        <v>837</v>
      </c>
      <c r="C358" s="171">
        <v>1</v>
      </c>
      <c r="D358" s="187"/>
      <c r="E358" s="187"/>
      <c r="F358" s="187"/>
      <c r="G358" s="193" t="s">
        <v>705</v>
      </c>
      <c r="H358" s="151"/>
      <c r="I358" s="151"/>
      <c r="J358" s="151"/>
      <c r="K358" s="151"/>
      <c r="L358" s="156"/>
      <c r="M358" s="157"/>
      <c r="N358" s="157"/>
      <c r="O358" s="157"/>
      <c r="P358" s="157"/>
      <c r="Q358" s="157"/>
      <c r="R358" s="157"/>
      <c r="S358" s="157"/>
      <c r="T358" s="158"/>
      <c r="U358" s="168"/>
    </row>
    <row r="359" spans="1:21" ht="42" x14ac:dyDescent="0.2">
      <c r="A359" s="175" t="s">
        <v>81</v>
      </c>
      <c r="B359" s="170" t="s">
        <v>837</v>
      </c>
      <c r="C359" s="171">
        <v>1</v>
      </c>
      <c r="D359" s="187"/>
      <c r="E359" s="187"/>
      <c r="F359" s="187"/>
      <c r="G359" s="193" t="s">
        <v>705</v>
      </c>
      <c r="H359" s="151"/>
      <c r="I359" s="151"/>
      <c r="J359" s="151"/>
      <c r="K359" s="151"/>
      <c r="L359" s="156"/>
      <c r="M359" s="157"/>
      <c r="N359" s="157"/>
      <c r="O359" s="157"/>
      <c r="P359" s="157"/>
      <c r="Q359" s="157"/>
      <c r="R359" s="157"/>
      <c r="S359" s="157"/>
      <c r="T359" s="158"/>
      <c r="U359" s="168"/>
    </row>
    <row r="360" spans="1:21" ht="12.75" x14ac:dyDescent="0.2">
      <c r="A360" s="191" t="s">
        <v>82</v>
      </c>
      <c r="B360" s="170" t="s">
        <v>345</v>
      </c>
      <c r="C360" s="171">
        <v>1</v>
      </c>
      <c r="D360" s="187"/>
      <c r="E360" s="187"/>
      <c r="F360" s="187"/>
      <c r="G360" s="193" t="s">
        <v>705</v>
      </c>
      <c r="H360" s="151"/>
      <c r="I360" s="151"/>
      <c r="J360" s="151"/>
      <c r="K360" s="151"/>
      <c r="L360" s="156"/>
      <c r="M360" s="157"/>
      <c r="N360" s="157"/>
      <c r="O360" s="157"/>
      <c r="P360" s="157"/>
      <c r="Q360" s="157"/>
      <c r="R360" s="157"/>
      <c r="S360" s="157"/>
      <c r="T360" s="158"/>
      <c r="U360" s="168"/>
    </row>
    <row r="361" spans="1:21" ht="12.75" x14ac:dyDescent="0.2">
      <c r="A361" s="169" t="s">
        <v>83</v>
      </c>
      <c r="B361" s="170" t="s">
        <v>898</v>
      </c>
      <c r="C361" s="171">
        <v>1</v>
      </c>
      <c r="D361" s="187"/>
      <c r="E361" s="187"/>
      <c r="F361" s="187"/>
      <c r="G361" s="193" t="s">
        <v>704</v>
      </c>
      <c r="H361" s="151"/>
      <c r="I361" s="151"/>
      <c r="J361" s="151"/>
      <c r="K361" s="151"/>
      <c r="L361" s="156"/>
      <c r="M361" s="157"/>
      <c r="N361" s="157"/>
      <c r="O361" s="157"/>
      <c r="P361" s="157"/>
      <c r="Q361" s="157"/>
      <c r="R361" s="157"/>
      <c r="S361" s="157"/>
      <c r="T361" s="158"/>
      <c r="U361" s="168"/>
    </row>
    <row r="362" spans="1:21" ht="21" x14ac:dyDescent="0.2">
      <c r="A362" s="169" t="s">
        <v>76</v>
      </c>
      <c r="B362" s="170"/>
      <c r="C362" s="171"/>
      <c r="D362" s="187"/>
      <c r="E362" s="187"/>
      <c r="F362" s="187"/>
      <c r="G362" s="193"/>
      <c r="H362" s="151"/>
      <c r="I362" s="151"/>
      <c r="J362" s="151"/>
      <c r="K362" s="151"/>
      <c r="L362" s="156"/>
      <c r="M362" s="157"/>
      <c r="N362" s="157"/>
      <c r="O362" s="157"/>
      <c r="P362" s="157"/>
      <c r="Q362" s="157"/>
      <c r="R362" s="157"/>
      <c r="S362" s="157"/>
      <c r="T362" s="158"/>
      <c r="U362" s="168"/>
    </row>
    <row r="363" spans="1:21" ht="21" x14ac:dyDescent="0.2">
      <c r="A363" s="175" t="s">
        <v>84</v>
      </c>
      <c r="B363" s="170" t="s">
        <v>345</v>
      </c>
      <c r="C363" s="171">
        <v>1</v>
      </c>
      <c r="D363" s="187"/>
      <c r="E363" s="187"/>
      <c r="F363" s="187"/>
      <c r="G363" s="193" t="s">
        <v>705</v>
      </c>
      <c r="H363" s="151"/>
      <c r="I363" s="151"/>
      <c r="J363" s="151"/>
      <c r="K363" s="151"/>
      <c r="L363" s="156"/>
      <c r="M363" s="157"/>
      <c r="N363" s="157"/>
      <c r="O363" s="157"/>
      <c r="P363" s="157"/>
      <c r="Q363" s="157"/>
      <c r="R363" s="157"/>
      <c r="S363" s="157"/>
      <c r="T363" s="158"/>
      <c r="U363" s="168"/>
    </row>
    <row r="364" spans="1:21" ht="21" x14ac:dyDescent="0.2">
      <c r="A364" s="169" t="s">
        <v>911</v>
      </c>
      <c r="B364" s="170" t="s">
        <v>898</v>
      </c>
      <c r="C364" s="171">
        <v>1</v>
      </c>
      <c r="D364" s="187"/>
      <c r="E364" s="187"/>
      <c r="F364" s="187"/>
      <c r="G364" s="193" t="s">
        <v>704</v>
      </c>
      <c r="H364" s="151"/>
      <c r="I364" s="151"/>
      <c r="J364" s="151"/>
      <c r="K364" s="151"/>
      <c r="L364" s="156"/>
      <c r="M364" s="157"/>
      <c r="N364" s="157"/>
      <c r="O364" s="157"/>
      <c r="P364" s="157"/>
      <c r="Q364" s="157"/>
      <c r="R364" s="157"/>
      <c r="S364" s="157"/>
      <c r="T364" s="158"/>
      <c r="U364" s="168"/>
    </row>
    <row r="365" spans="1:21" ht="21" x14ac:dyDescent="0.2">
      <c r="A365" s="175" t="s">
        <v>86</v>
      </c>
      <c r="B365" s="170" t="s">
        <v>345</v>
      </c>
      <c r="C365" s="171">
        <v>1</v>
      </c>
      <c r="D365" s="187"/>
      <c r="E365" s="187"/>
      <c r="F365" s="187"/>
      <c r="G365" s="193" t="s">
        <v>705</v>
      </c>
      <c r="H365" s="151"/>
      <c r="I365" s="151"/>
      <c r="J365" s="151"/>
      <c r="K365" s="151"/>
      <c r="L365" s="156"/>
      <c r="M365" s="157"/>
      <c r="N365" s="157"/>
      <c r="O365" s="157"/>
      <c r="P365" s="157"/>
      <c r="Q365" s="157"/>
      <c r="R365" s="157"/>
      <c r="S365" s="157"/>
      <c r="T365" s="158"/>
      <c r="U365" s="168"/>
    </row>
    <row r="366" spans="1:21" ht="21" x14ac:dyDescent="0.2">
      <c r="A366" s="169" t="s">
        <v>921</v>
      </c>
      <c r="B366" s="170" t="s">
        <v>898</v>
      </c>
      <c r="C366" s="171">
        <v>1</v>
      </c>
      <c r="D366" s="187"/>
      <c r="E366" s="187"/>
      <c r="F366" s="187"/>
      <c r="G366" s="193" t="s">
        <v>704</v>
      </c>
      <c r="H366" s="151"/>
      <c r="I366" s="151"/>
      <c r="J366" s="151"/>
      <c r="K366" s="151"/>
      <c r="L366" s="156"/>
      <c r="M366" s="157"/>
      <c r="N366" s="157"/>
      <c r="O366" s="157"/>
      <c r="P366" s="157"/>
      <c r="Q366" s="157"/>
      <c r="R366" s="157"/>
      <c r="S366" s="157"/>
      <c r="T366" s="158"/>
      <c r="U366" s="168"/>
    </row>
    <row r="367" spans="1:21" ht="31.5" x14ac:dyDescent="0.2">
      <c r="A367" s="175" t="s">
        <v>87</v>
      </c>
      <c r="B367" s="170" t="s">
        <v>345</v>
      </c>
      <c r="C367" s="171">
        <v>1</v>
      </c>
      <c r="D367" s="187"/>
      <c r="E367" s="187"/>
      <c r="F367" s="187"/>
      <c r="G367" s="193" t="s">
        <v>705</v>
      </c>
      <c r="H367" s="151"/>
      <c r="I367" s="151"/>
      <c r="J367" s="151"/>
      <c r="K367" s="151"/>
      <c r="L367" s="156"/>
      <c r="M367" s="157"/>
      <c r="N367" s="157"/>
      <c r="O367" s="157"/>
      <c r="P367" s="157"/>
      <c r="Q367" s="157"/>
      <c r="R367" s="157"/>
      <c r="S367" s="157"/>
      <c r="T367" s="158"/>
      <c r="U367" s="168"/>
    </row>
    <row r="368" spans="1:21" ht="21" x14ac:dyDescent="0.2">
      <c r="A368" s="169" t="s">
        <v>16</v>
      </c>
      <c r="B368" s="170" t="s">
        <v>898</v>
      </c>
      <c r="C368" s="171">
        <v>1</v>
      </c>
      <c r="D368" s="187"/>
      <c r="E368" s="187"/>
      <c r="F368" s="187"/>
      <c r="G368" s="193" t="s">
        <v>704</v>
      </c>
      <c r="H368" s="151"/>
      <c r="I368" s="151"/>
      <c r="J368" s="151"/>
      <c r="K368" s="151"/>
      <c r="L368" s="156"/>
      <c r="M368" s="157"/>
      <c r="N368" s="157"/>
      <c r="O368" s="157"/>
      <c r="P368" s="157"/>
      <c r="Q368" s="157"/>
      <c r="R368" s="157"/>
      <c r="S368" s="157"/>
      <c r="T368" s="158"/>
      <c r="U368" s="168"/>
    </row>
    <row r="369" spans="1:21" ht="21" x14ac:dyDescent="0.2">
      <c r="A369" s="175" t="s">
        <v>88</v>
      </c>
      <c r="B369" s="170" t="s">
        <v>345</v>
      </c>
      <c r="C369" s="171">
        <v>1</v>
      </c>
      <c r="D369" s="187"/>
      <c r="E369" s="187"/>
      <c r="F369" s="187"/>
      <c r="G369" s="193" t="s">
        <v>705</v>
      </c>
      <c r="H369" s="151"/>
      <c r="I369" s="151"/>
      <c r="J369" s="151"/>
      <c r="K369" s="151"/>
      <c r="L369" s="156"/>
      <c r="M369" s="157"/>
      <c r="N369" s="157"/>
      <c r="O369" s="157"/>
      <c r="P369" s="157"/>
      <c r="Q369" s="157"/>
      <c r="R369" s="157"/>
      <c r="S369" s="157"/>
      <c r="T369" s="158"/>
      <c r="U369" s="168"/>
    </row>
    <row r="370" spans="1:21" ht="12.75" x14ac:dyDescent="0.2">
      <c r="A370" s="169" t="s">
        <v>89</v>
      </c>
      <c r="B370" s="170" t="s">
        <v>898</v>
      </c>
      <c r="C370" s="171">
        <v>1</v>
      </c>
      <c r="D370" s="187"/>
      <c r="E370" s="187"/>
      <c r="F370" s="187"/>
      <c r="G370" s="193" t="s">
        <v>704</v>
      </c>
      <c r="H370" s="151"/>
      <c r="I370" s="151"/>
      <c r="J370" s="151"/>
      <c r="K370" s="151"/>
      <c r="L370" s="156"/>
      <c r="M370" s="157"/>
      <c r="N370" s="157"/>
      <c r="O370" s="157"/>
      <c r="P370" s="157"/>
      <c r="Q370" s="157"/>
      <c r="R370" s="157"/>
      <c r="S370" s="157"/>
      <c r="T370" s="158"/>
      <c r="U370" s="168"/>
    </row>
    <row r="371" spans="1:21" ht="52.5" x14ac:dyDescent="0.2">
      <c r="A371" s="175" t="s">
        <v>91</v>
      </c>
      <c r="B371" s="170" t="s">
        <v>345</v>
      </c>
      <c r="C371" s="171">
        <v>1</v>
      </c>
      <c r="D371" s="187"/>
      <c r="E371" s="187"/>
      <c r="F371" s="187"/>
      <c r="G371" s="193" t="s">
        <v>705</v>
      </c>
      <c r="H371" s="151"/>
      <c r="I371" s="151"/>
      <c r="J371" s="151"/>
      <c r="K371" s="151"/>
      <c r="L371" s="156"/>
      <c r="M371" s="157"/>
      <c r="N371" s="157"/>
      <c r="O371" s="157"/>
      <c r="P371" s="157"/>
      <c r="Q371" s="157"/>
      <c r="R371" s="157"/>
      <c r="S371" s="157"/>
      <c r="T371" s="158"/>
      <c r="U371" s="168"/>
    </row>
    <row r="372" spans="1:21" ht="42" x14ac:dyDescent="0.2">
      <c r="A372" s="169" t="s">
        <v>92</v>
      </c>
      <c r="B372" s="170" t="s">
        <v>898</v>
      </c>
      <c r="C372" s="171">
        <v>1</v>
      </c>
      <c r="D372" s="187"/>
      <c r="E372" s="187"/>
      <c r="F372" s="187"/>
      <c r="G372" s="193" t="s">
        <v>704</v>
      </c>
      <c r="H372" s="151"/>
      <c r="I372" s="151"/>
      <c r="J372" s="151"/>
      <c r="K372" s="151"/>
      <c r="L372" s="156"/>
      <c r="M372" s="157"/>
      <c r="N372" s="157"/>
      <c r="O372" s="157"/>
      <c r="P372" s="157"/>
      <c r="Q372" s="157"/>
      <c r="R372" s="157"/>
      <c r="S372" s="157"/>
      <c r="T372" s="158"/>
      <c r="U372" s="168"/>
    </row>
    <row r="373" spans="1:21" ht="12.75" x14ac:dyDescent="0.2">
      <c r="A373" s="214"/>
      <c r="B373" s="214"/>
      <c r="C373" s="171"/>
      <c r="D373" s="215"/>
      <c r="E373" s="215"/>
      <c r="F373" s="215"/>
      <c r="G373" s="216"/>
      <c r="H373" s="151"/>
      <c r="I373" s="151"/>
      <c r="J373" s="151"/>
      <c r="K373" s="151"/>
      <c r="L373" s="156"/>
      <c r="M373" s="157"/>
      <c r="N373" s="157"/>
      <c r="O373" s="157"/>
      <c r="P373" s="157"/>
      <c r="Q373" s="157"/>
      <c r="R373" s="157"/>
      <c r="S373" s="157"/>
      <c r="T373" s="158"/>
      <c r="U373" s="168"/>
    </row>
    <row r="374" spans="1:21" ht="14.25" x14ac:dyDescent="0.2">
      <c r="A374" s="217" t="s">
        <v>93</v>
      </c>
      <c r="B374" s="186"/>
      <c r="C374" s="171"/>
      <c r="D374" s="183"/>
      <c r="E374" s="183"/>
      <c r="F374" s="183"/>
      <c r="G374" s="184"/>
      <c r="H374" s="151"/>
      <c r="I374" s="151"/>
      <c r="J374" s="151"/>
      <c r="K374" s="151"/>
      <c r="L374" s="156"/>
      <c r="M374" s="157"/>
      <c r="N374" s="157"/>
      <c r="O374" s="157"/>
      <c r="P374" s="157"/>
      <c r="Q374" s="157"/>
      <c r="R374" s="157"/>
      <c r="S374" s="157"/>
      <c r="T374" s="158"/>
      <c r="U374" s="168"/>
    </row>
    <row r="375" spans="1:21" ht="21" x14ac:dyDescent="0.2">
      <c r="A375" s="231" t="s">
        <v>189</v>
      </c>
      <c r="B375" s="232" t="s">
        <v>345</v>
      </c>
      <c r="C375" s="171">
        <v>1</v>
      </c>
      <c r="D375" s="183"/>
      <c r="E375" s="183"/>
      <c r="F375" s="183"/>
      <c r="G375" s="184" t="s">
        <v>705</v>
      </c>
      <c r="H375" s="151"/>
      <c r="I375" s="151"/>
      <c r="J375" s="151"/>
      <c r="K375" s="151"/>
      <c r="L375" s="156"/>
      <c r="M375" s="157"/>
      <c r="N375" s="157"/>
      <c r="O375" s="157"/>
      <c r="P375" s="157"/>
      <c r="Q375" s="157"/>
      <c r="R375" s="157"/>
      <c r="S375" s="157"/>
      <c r="T375" s="158"/>
      <c r="U375" s="168"/>
    </row>
    <row r="376" spans="1:21" ht="18" x14ac:dyDescent="0.2">
      <c r="A376" s="169" t="s">
        <v>670</v>
      </c>
      <c r="B376" s="170" t="s">
        <v>907</v>
      </c>
      <c r="C376" s="171">
        <v>1</v>
      </c>
      <c r="D376" s="183"/>
      <c r="E376" s="183"/>
      <c r="F376" s="187"/>
      <c r="G376" s="184" t="s">
        <v>704</v>
      </c>
      <c r="H376" s="151"/>
      <c r="I376" s="151"/>
      <c r="J376" s="151"/>
      <c r="K376" s="151"/>
      <c r="L376" s="156"/>
      <c r="M376" s="157"/>
      <c r="N376" s="157"/>
      <c r="O376" s="157"/>
      <c r="P376" s="157"/>
      <c r="Q376" s="157"/>
      <c r="R376" s="157"/>
      <c r="S376" s="157"/>
      <c r="T376" s="158"/>
      <c r="U376" s="168"/>
    </row>
    <row r="377" spans="1:21" ht="12.75" x14ac:dyDescent="0.2">
      <c r="A377" s="169" t="s">
        <v>671</v>
      </c>
      <c r="B377" s="170" t="s">
        <v>898</v>
      </c>
      <c r="C377" s="171">
        <v>1</v>
      </c>
      <c r="D377" s="183"/>
      <c r="E377" s="183"/>
      <c r="F377" s="183"/>
      <c r="G377" s="184" t="s">
        <v>706</v>
      </c>
      <c r="H377" s="151"/>
      <c r="I377" s="151"/>
      <c r="J377" s="151"/>
      <c r="K377" s="151"/>
      <c r="L377" s="156"/>
      <c r="M377" s="157"/>
      <c r="N377" s="157"/>
      <c r="O377" s="157"/>
      <c r="P377" s="157"/>
      <c r="Q377" s="157"/>
      <c r="R377" s="157"/>
      <c r="S377" s="157"/>
      <c r="T377" s="158"/>
      <c r="U377" s="168"/>
    </row>
    <row r="378" spans="1:21" ht="42" x14ac:dyDescent="0.2">
      <c r="A378" s="169" t="s">
        <v>784</v>
      </c>
      <c r="B378" s="232" t="s">
        <v>345</v>
      </c>
      <c r="C378" s="171">
        <v>1</v>
      </c>
      <c r="D378" s="183"/>
      <c r="E378" s="183"/>
      <c r="F378" s="188"/>
      <c r="G378" s="184" t="s">
        <v>705</v>
      </c>
      <c r="H378" s="151"/>
      <c r="I378" s="151"/>
      <c r="J378" s="151"/>
      <c r="K378" s="151"/>
      <c r="L378" s="156"/>
      <c r="M378" s="157"/>
      <c r="N378" s="157"/>
      <c r="O378" s="157"/>
      <c r="P378" s="157"/>
      <c r="Q378" s="157"/>
      <c r="R378" s="157"/>
      <c r="S378" s="157"/>
      <c r="T378" s="158"/>
      <c r="U378" s="168"/>
    </row>
    <row r="379" spans="1:21" ht="18" x14ac:dyDescent="0.2">
      <c r="A379" s="169" t="s">
        <v>670</v>
      </c>
      <c r="B379" s="170" t="s">
        <v>907</v>
      </c>
      <c r="C379" s="171">
        <v>1</v>
      </c>
      <c r="D379" s="183"/>
      <c r="E379" s="183"/>
      <c r="F379" s="188"/>
      <c r="G379" s="184" t="s">
        <v>704</v>
      </c>
      <c r="H379" s="151"/>
      <c r="I379" s="151"/>
      <c r="J379" s="151"/>
      <c r="K379" s="151"/>
      <c r="L379" s="156"/>
      <c r="M379" s="157"/>
      <c r="N379" s="157"/>
      <c r="O379" s="157"/>
      <c r="P379" s="157"/>
      <c r="Q379" s="157"/>
      <c r="R379" s="157"/>
      <c r="S379" s="157"/>
      <c r="T379" s="158"/>
      <c r="U379" s="168"/>
    </row>
    <row r="380" spans="1:21" ht="12.75" x14ac:dyDescent="0.2">
      <c r="A380" s="169" t="s">
        <v>671</v>
      </c>
      <c r="B380" s="170" t="s">
        <v>898</v>
      </c>
      <c r="C380" s="171">
        <v>1</v>
      </c>
      <c r="D380" s="183"/>
      <c r="E380" s="183"/>
      <c r="F380" s="188"/>
      <c r="G380" s="184" t="s">
        <v>706</v>
      </c>
      <c r="H380" s="151"/>
      <c r="I380" s="151"/>
      <c r="J380" s="151"/>
      <c r="K380" s="151"/>
      <c r="L380" s="156"/>
      <c r="M380" s="157"/>
      <c r="N380" s="157"/>
      <c r="O380" s="157"/>
      <c r="P380" s="157"/>
      <c r="Q380" s="157"/>
      <c r="R380" s="157"/>
      <c r="S380" s="157"/>
      <c r="T380" s="158"/>
      <c r="U380" s="168"/>
    </row>
    <row r="381" spans="1:21" ht="42" x14ac:dyDescent="0.2">
      <c r="A381" s="169" t="s">
        <v>94</v>
      </c>
      <c r="B381" s="170"/>
      <c r="C381" s="171"/>
      <c r="D381" s="183"/>
      <c r="E381" s="183"/>
      <c r="F381" s="188"/>
      <c r="G381" s="184"/>
      <c r="H381" s="151"/>
      <c r="I381" s="151"/>
      <c r="J381" s="151"/>
      <c r="K381" s="151"/>
      <c r="L381" s="156"/>
      <c r="M381" s="157"/>
      <c r="N381" s="157"/>
      <c r="O381" s="157"/>
      <c r="P381" s="157"/>
      <c r="Q381" s="157"/>
      <c r="R381" s="157"/>
      <c r="S381" s="157"/>
      <c r="T381" s="158"/>
      <c r="U381" s="168"/>
    </row>
    <row r="382" spans="1:21" ht="21" x14ac:dyDescent="0.2">
      <c r="A382" s="175" t="s">
        <v>95</v>
      </c>
      <c r="B382" s="232" t="s">
        <v>345</v>
      </c>
      <c r="C382" s="171">
        <v>1</v>
      </c>
      <c r="D382" s="183"/>
      <c r="E382" s="183"/>
      <c r="F382" s="183"/>
      <c r="G382" s="184" t="s">
        <v>705</v>
      </c>
      <c r="H382" s="151"/>
      <c r="I382" s="151"/>
      <c r="J382" s="151"/>
      <c r="K382" s="151"/>
      <c r="L382" s="156"/>
      <c r="M382" s="157"/>
      <c r="N382" s="157"/>
      <c r="O382" s="157"/>
      <c r="P382" s="157"/>
      <c r="Q382" s="157"/>
      <c r="R382" s="157"/>
      <c r="S382" s="157"/>
      <c r="T382" s="158"/>
      <c r="U382" s="168"/>
    </row>
    <row r="383" spans="1:21" ht="18" x14ac:dyDescent="0.2">
      <c r="A383" s="175" t="s">
        <v>670</v>
      </c>
      <c r="B383" s="170" t="s">
        <v>907</v>
      </c>
      <c r="C383" s="171">
        <v>1</v>
      </c>
      <c r="D383" s="183"/>
      <c r="E383" s="183"/>
      <c r="F383" s="183"/>
      <c r="G383" s="184" t="s">
        <v>704</v>
      </c>
      <c r="H383" s="151"/>
      <c r="I383" s="151"/>
      <c r="J383" s="151"/>
      <c r="K383" s="151"/>
      <c r="L383" s="156"/>
      <c r="M383" s="157"/>
      <c r="N383" s="157"/>
      <c r="O383" s="157"/>
      <c r="P383" s="157"/>
      <c r="Q383" s="157"/>
      <c r="R383" s="157"/>
      <c r="S383" s="157"/>
      <c r="T383" s="158"/>
      <c r="U383" s="168"/>
    </row>
    <row r="384" spans="1:21" ht="12.75" x14ac:dyDescent="0.2">
      <c r="A384" s="175" t="s">
        <v>96</v>
      </c>
      <c r="B384" s="232" t="s">
        <v>345</v>
      </c>
      <c r="C384" s="171">
        <v>1</v>
      </c>
      <c r="D384" s="183"/>
      <c r="E384" s="183"/>
      <c r="F384" s="183"/>
      <c r="G384" s="184" t="s">
        <v>705</v>
      </c>
      <c r="H384" s="151"/>
      <c r="I384" s="151"/>
      <c r="J384" s="151"/>
      <c r="K384" s="151"/>
      <c r="L384" s="156"/>
      <c r="M384" s="157"/>
      <c r="N384" s="157"/>
      <c r="O384" s="157"/>
      <c r="P384" s="157"/>
      <c r="Q384" s="157"/>
      <c r="R384" s="157"/>
      <c r="S384" s="157"/>
      <c r="T384" s="158"/>
      <c r="U384" s="168"/>
    </row>
    <row r="385" spans="1:21" ht="18" x14ac:dyDescent="0.2">
      <c r="A385" s="175" t="s">
        <v>670</v>
      </c>
      <c r="B385" s="170" t="s">
        <v>907</v>
      </c>
      <c r="C385" s="171">
        <v>1</v>
      </c>
      <c r="D385" s="183"/>
      <c r="E385" s="183"/>
      <c r="F385" s="183"/>
      <c r="G385" s="184" t="s">
        <v>704</v>
      </c>
      <c r="H385" s="151"/>
      <c r="I385" s="151"/>
      <c r="J385" s="151"/>
      <c r="K385" s="151"/>
      <c r="L385" s="156"/>
      <c r="M385" s="157"/>
      <c r="N385" s="157"/>
      <c r="O385" s="157"/>
      <c r="P385" s="157"/>
      <c r="Q385" s="157"/>
      <c r="R385" s="157"/>
      <c r="S385" s="157"/>
      <c r="T385" s="158"/>
      <c r="U385" s="168"/>
    </row>
    <row r="386" spans="1:21" ht="12.75" x14ac:dyDescent="0.2">
      <c r="A386" s="175" t="s">
        <v>77</v>
      </c>
      <c r="B386" s="232" t="s">
        <v>345</v>
      </c>
      <c r="C386" s="171">
        <v>1</v>
      </c>
      <c r="D386" s="183"/>
      <c r="E386" s="183"/>
      <c r="F386" s="183"/>
      <c r="G386" s="184" t="s">
        <v>705</v>
      </c>
      <c r="H386" s="151"/>
      <c r="I386" s="151"/>
      <c r="J386" s="151"/>
      <c r="K386" s="151"/>
      <c r="L386" s="156"/>
      <c r="M386" s="157"/>
      <c r="N386" s="157"/>
      <c r="O386" s="157"/>
      <c r="P386" s="157"/>
      <c r="Q386" s="157"/>
      <c r="R386" s="157"/>
      <c r="S386" s="157"/>
      <c r="T386" s="158"/>
      <c r="U386" s="168"/>
    </row>
    <row r="387" spans="1:21" ht="18" x14ac:dyDescent="0.2">
      <c r="A387" s="175" t="s">
        <v>670</v>
      </c>
      <c r="B387" s="170" t="s">
        <v>907</v>
      </c>
      <c r="C387" s="171">
        <v>1</v>
      </c>
      <c r="D387" s="183"/>
      <c r="E387" s="183"/>
      <c r="F387" s="183"/>
      <c r="G387" s="184" t="s">
        <v>704</v>
      </c>
      <c r="H387" s="151"/>
      <c r="I387" s="151"/>
      <c r="J387" s="151"/>
      <c r="K387" s="151"/>
      <c r="L387" s="156"/>
      <c r="M387" s="157"/>
      <c r="N387" s="157"/>
      <c r="O387" s="157"/>
      <c r="P387" s="157"/>
      <c r="Q387" s="157"/>
      <c r="R387" s="157"/>
      <c r="S387" s="157"/>
      <c r="T387" s="158"/>
      <c r="U387" s="168"/>
    </row>
    <row r="388" spans="1:21" ht="21" x14ac:dyDescent="0.2">
      <c r="A388" s="189" t="s">
        <v>97</v>
      </c>
      <c r="B388" s="232" t="s">
        <v>345</v>
      </c>
      <c r="C388" s="171">
        <v>1</v>
      </c>
      <c r="D388" s="183"/>
      <c r="E388" s="183"/>
      <c r="F388" s="183"/>
      <c r="G388" s="184" t="s">
        <v>705</v>
      </c>
      <c r="H388" s="151"/>
      <c r="I388" s="151"/>
      <c r="J388" s="151"/>
      <c r="K388" s="151"/>
      <c r="L388" s="156"/>
      <c r="M388" s="157"/>
      <c r="N388" s="157"/>
      <c r="O388" s="157"/>
      <c r="P388" s="157"/>
      <c r="Q388" s="157"/>
      <c r="R388" s="157"/>
      <c r="S388" s="157"/>
      <c r="T388" s="158"/>
      <c r="U388" s="168"/>
    </row>
    <row r="389" spans="1:21" ht="18" x14ac:dyDescent="0.2">
      <c r="A389" s="189" t="s">
        <v>670</v>
      </c>
      <c r="B389" s="170" t="s">
        <v>907</v>
      </c>
      <c r="C389" s="171">
        <v>1</v>
      </c>
      <c r="D389" s="183"/>
      <c r="E389" s="183"/>
      <c r="F389" s="183"/>
      <c r="G389" s="184" t="s">
        <v>704</v>
      </c>
      <c r="H389" s="151"/>
      <c r="I389" s="151"/>
      <c r="J389" s="151"/>
      <c r="K389" s="151"/>
      <c r="L389" s="156"/>
      <c r="M389" s="157"/>
      <c r="N389" s="157"/>
      <c r="O389" s="157"/>
      <c r="P389" s="157"/>
      <c r="Q389" s="157"/>
      <c r="R389" s="157"/>
      <c r="S389" s="157"/>
      <c r="T389" s="158"/>
      <c r="U389" s="168"/>
    </row>
    <row r="390" spans="1:21" ht="21" x14ac:dyDescent="0.2">
      <c r="A390" s="189" t="s">
        <v>98</v>
      </c>
      <c r="B390" s="232" t="s">
        <v>345</v>
      </c>
      <c r="C390" s="171">
        <v>1</v>
      </c>
      <c r="D390" s="183"/>
      <c r="E390" s="183"/>
      <c r="F390" s="183"/>
      <c r="G390" s="184" t="s">
        <v>705</v>
      </c>
      <c r="H390" s="151"/>
      <c r="I390" s="151"/>
      <c r="J390" s="151"/>
      <c r="K390" s="151"/>
      <c r="L390" s="156"/>
      <c r="M390" s="157"/>
      <c r="N390" s="157"/>
      <c r="O390" s="157"/>
      <c r="P390" s="157"/>
      <c r="Q390" s="157"/>
      <c r="R390" s="157"/>
      <c r="S390" s="157"/>
      <c r="T390" s="158"/>
      <c r="U390" s="168"/>
    </row>
    <row r="391" spans="1:21" ht="18" x14ac:dyDescent="0.2">
      <c r="A391" s="189" t="s">
        <v>670</v>
      </c>
      <c r="B391" s="170" t="s">
        <v>907</v>
      </c>
      <c r="C391" s="171">
        <v>1</v>
      </c>
      <c r="D391" s="183"/>
      <c r="E391" s="183"/>
      <c r="F391" s="183"/>
      <c r="G391" s="184" t="s">
        <v>704</v>
      </c>
      <c r="H391" s="151"/>
      <c r="I391" s="151"/>
      <c r="J391" s="151"/>
      <c r="K391" s="151"/>
      <c r="L391" s="156"/>
      <c r="M391" s="157"/>
      <c r="N391" s="157"/>
      <c r="O391" s="157"/>
      <c r="P391" s="157"/>
      <c r="Q391" s="157"/>
      <c r="R391" s="157"/>
      <c r="S391" s="157"/>
      <c r="T391" s="158"/>
      <c r="U391" s="168"/>
    </row>
    <row r="392" spans="1:21" ht="12.75" x14ac:dyDescent="0.2">
      <c r="A392" s="175" t="s">
        <v>78</v>
      </c>
      <c r="B392" s="232" t="s">
        <v>345</v>
      </c>
      <c r="C392" s="171">
        <v>1</v>
      </c>
      <c r="D392" s="183"/>
      <c r="E392" s="183"/>
      <c r="F392" s="183"/>
      <c r="G392" s="184" t="s">
        <v>705</v>
      </c>
      <c r="H392" s="151"/>
      <c r="I392" s="151"/>
      <c r="J392" s="151"/>
      <c r="K392" s="151"/>
      <c r="L392" s="156"/>
      <c r="M392" s="157"/>
      <c r="N392" s="157"/>
      <c r="O392" s="157"/>
      <c r="P392" s="157"/>
      <c r="Q392" s="157"/>
      <c r="R392" s="157"/>
      <c r="S392" s="157"/>
      <c r="T392" s="158"/>
      <c r="U392" s="168"/>
    </row>
    <row r="393" spans="1:21" ht="18" x14ac:dyDescent="0.2">
      <c r="A393" s="175" t="s">
        <v>670</v>
      </c>
      <c r="B393" s="170" t="s">
        <v>907</v>
      </c>
      <c r="C393" s="171">
        <v>1</v>
      </c>
      <c r="D393" s="183"/>
      <c r="E393" s="183"/>
      <c r="F393" s="183"/>
      <c r="G393" s="184" t="s">
        <v>704</v>
      </c>
      <c r="H393" s="151"/>
      <c r="I393" s="151"/>
      <c r="J393" s="151"/>
      <c r="K393" s="151"/>
      <c r="L393" s="156"/>
      <c r="M393" s="157"/>
      <c r="N393" s="157"/>
      <c r="O393" s="157"/>
      <c r="P393" s="157"/>
      <c r="Q393" s="157"/>
      <c r="R393" s="157"/>
      <c r="S393" s="157"/>
      <c r="T393" s="158"/>
      <c r="U393" s="168"/>
    </row>
    <row r="394" spans="1:21" ht="21" x14ac:dyDescent="0.2">
      <c r="A394" s="189" t="s">
        <v>99</v>
      </c>
      <c r="B394" s="232" t="s">
        <v>345</v>
      </c>
      <c r="C394" s="171">
        <v>1</v>
      </c>
      <c r="D394" s="183"/>
      <c r="E394" s="183"/>
      <c r="F394" s="183"/>
      <c r="G394" s="184" t="s">
        <v>705</v>
      </c>
      <c r="H394" s="151"/>
      <c r="I394" s="151"/>
      <c r="J394" s="151"/>
      <c r="K394" s="151"/>
      <c r="L394" s="156"/>
      <c r="M394" s="157"/>
      <c r="N394" s="157"/>
      <c r="O394" s="157"/>
      <c r="P394" s="157"/>
      <c r="Q394" s="157"/>
      <c r="R394" s="157"/>
      <c r="S394" s="157"/>
      <c r="T394" s="158"/>
      <c r="U394" s="168"/>
    </row>
    <row r="395" spans="1:21" ht="18" x14ac:dyDescent="0.2">
      <c r="A395" s="189" t="s">
        <v>670</v>
      </c>
      <c r="B395" s="170" t="s">
        <v>907</v>
      </c>
      <c r="C395" s="171">
        <v>1</v>
      </c>
      <c r="D395" s="183"/>
      <c r="E395" s="183"/>
      <c r="F395" s="183"/>
      <c r="G395" s="184" t="s">
        <v>704</v>
      </c>
      <c r="H395" s="151"/>
      <c r="I395" s="151"/>
      <c r="J395" s="151"/>
      <c r="K395" s="151"/>
      <c r="L395" s="156"/>
      <c r="M395" s="157"/>
      <c r="N395" s="157"/>
      <c r="O395" s="157"/>
      <c r="P395" s="157"/>
      <c r="Q395" s="157"/>
      <c r="R395" s="157"/>
      <c r="S395" s="157"/>
      <c r="T395" s="158"/>
      <c r="U395" s="168"/>
    </row>
    <row r="396" spans="1:21" ht="21" x14ac:dyDescent="0.2">
      <c r="A396" s="189" t="s">
        <v>115</v>
      </c>
      <c r="B396" s="232" t="s">
        <v>345</v>
      </c>
      <c r="C396" s="171">
        <v>1</v>
      </c>
      <c r="D396" s="183"/>
      <c r="E396" s="183"/>
      <c r="F396" s="183"/>
      <c r="G396" s="184" t="s">
        <v>705</v>
      </c>
      <c r="H396" s="151"/>
      <c r="I396" s="151"/>
      <c r="J396" s="151"/>
      <c r="K396" s="151"/>
      <c r="L396" s="156"/>
      <c r="M396" s="157"/>
      <c r="N396" s="157"/>
      <c r="O396" s="157"/>
      <c r="P396" s="157"/>
      <c r="Q396" s="157"/>
      <c r="R396" s="157"/>
      <c r="S396" s="157"/>
      <c r="T396" s="158"/>
      <c r="U396" s="168"/>
    </row>
    <row r="397" spans="1:21" ht="18" x14ac:dyDescent="0.2">
      <c r="A397" s="189" t="s">
        <v>670</v>
      </c>
      <c r="B397" s="170" t="s">
        <v>907</v>
      </c>
      <c r="C397" s="171">
        <v>1</v>
      </c>
      <c r="D397" s="183"/>
      <c r="E397" s="183"/>
      <c r="F397" s="183"/>
      <c r="G397" s="184" t="s">
        <v>704</v>
      </c>
      <c r="H397" s="151"/>
      <c r="I397" s="151"/>
      <c r="J397" s="151"/>
      <c r="K397" s="151"/>
      <c r="L397" s="156"/>
      <c r="M397" s="157"/>
      <c r="N397" s="157"/>
      <c r="O397" s="157"/>
      <c r="P397" s="157"/>
      <c r="Q397" s="157"/>
      <c r="R397" s="157"/>
      <c r="S397" s="157"/>
      <c r="T397" s="158"/>
      <c r="U397" s="168"/>
    </row>
    <row r="398" spans="1:21" ht="21" x14ac:dyDescent="0.2">
      <c r="A398" s="189" t="s">
        <v>116</v>
      </c>
      <c r="B398" s="232" t="s">
        <v>345</v>
      </c>
      <c r="C398" s="171">
        <v>1</v>
      </c>
      <c r="D398" s="183"/>
      <c r="E398" s="183"/>
      <c r="F398" s="183"/>
      <c r="G398" s="184" t="s">
        <v>705</v>
      </c>
      <c r="H398" s="151"/>
      <c r="I398" s="151"/>
      <c r="J398" s="151"/>
      <c r="K398" s="151"/>
      <c r="L398" s="156"/>
      <c r="M398" s="157"/>
      <c r="N398" s="157"/>
      <c r="O398" s="157"/>
      <c r="P398" s="157"/>
      <c r="Q398" s="157"/>
      <c r="R398" s="157"/>
      <c r="S398" s="157"/>
      <c r="T398" s="158"/>
      <c r="U398" s="168"/>
    </row>
    <row r="399" spans="1:21" ht="18" x14ac:dyDescent="0.2">
      <c r="A399" s="189" t="s">
        <v>670</v>
      </c>
      <c r="B399" s="170" t="s">
        <v>907</v>
      </c>
      <c r="C399" s="171">
        <v>1</v>
      </c>
      <c r="D399" s="183"/>
      <c r="E399" s="183"/>
      <c r="F399" s="183"/>
      <c r="G399" s="184" t="s">
        <v>704</v>
      </c>
      <c r="H399" s="151"/>
      <c r="I399" s="151"/>
      <c r="J399" s="151"/>
      <c r="K399" s="151"/>
      <c r="L399" s="156"/>
      <c r="M399" s="157"/>
      <c r="N399" s="157"/>
      <c r="O399" s="157"/>
      <c r="P399" s="157"/>
      <c r="Q399" s="157"/>
      <c r="R399" s="157"/>
      <c r="S399" s="157"/>
      <c r="T399" s="158"/>
      <c r="U399" s="168"/>
    </row>
    <row r="400" spans="1:21" ht="21" x14ac:dyDescent="0.2">
      <c r="A400" s="189" t="s">
        <v>117</v>
      </c>
      <c r="B400" s="232" t="s">
        <v>345</v>
      </c>
      <c r="C400" s="171">
        <v>1</v>
      </c>
      <c r="D400" s="183"/>
      <c r="E400" s="183"/>
      <c r="F400" s="183"/>
      <c r="G400" s="184" t="s">
        <v>705</v>
      </c>
      <c r="H400" s="151"/>
      <c r="I400" s="151"/>
      <c r="J400" s="151"/>
      <c r="K400" s="151"/>
      <c r="L400" s="156"/>
      <c r="M400" s="157"/>
      <c r="N400" s="157"/>
      <c r="O400" s="157"/>
      <c r="P400" s="157"/>
      <c r="Q400" s="157"/>
      <c r="R400" s="157"/>
      <c r="S400" s="157"/>
      <c r="T400" s="158"/>
      <c r="U400" s="168"/>
    </row>
    <row r="401" spans="1:21" ht="18" x14ac:dyDescent="0.2">
      <c r="A401" s="189" t="s">
        <v>670</v>
      </c>
      <c r="B401" s="170" t="s">
        <v>907</v>
      </c>
      <c r="C401" s="171">
        <v>1</v>
      </c>
      <c r="D401" s="183"/>
      <c r="E401" s="183"/>
      <c r="F401" s="183"/>
      <c r="G401" s="184" t="s">
        <v>704</v>
      </c>
      <c r="H401" s="151"/>
      <c r="I401" s="151"/>
      <c r="J401" s="151"/>
      <c r="K401" s="151"/>
      <c r="L401" s="156"/>
      <c r="M401" s="157"/>
      <c r="N401" s="157"/>
      <c r="O401" s="157"/>
      <c r="P401" s="157"/>
      <c r="Q401" s="157"/>
      <c r="R401" s="157"/>
      <c r="S401" s="157"/>
      <c r="T401" s="158"/>
      <c r="U401" s="168"/>
    </row>
    <row r="402" spans="1:21" ht="31.5" x14ac:dyDescent="0.2">
      <c r="A402" s="189" t="s">
        <v>118</v>
      </c>
      <c r="B402" s="232" t="s">
        <v>345</v>
      </c>
      <c r="C402" s="171">
        <v>1</v>
      </c>
      <c r="D402" s="183"/>
      <c r="E402" s="183"/>
      <c r="F402" s="183"/>
      <c r="G402" s="184" t="s">
        <v>705</v>
      </c>
      <c r="H402" s="151"/>
      <c r="I402" s="151"/>
      <c r="J402" s="151"/>
      <c r="K402" s="151"/>
      <c r="L402" s="156"/>
      <c r="M402" s="157"/>
      <c r="N402" s="157"/>
      <c r="O402" s="157"/>
      <c r="P402" s="157"/>
      <c r="Q402" s="157"/>
      <c r="R402" s="157"/>
      <c r="S402" s="157"/>
      <c r="T402" s="158"/>
      <c r="U402" s="168"/>
    </row>
    <row r="403" spans="1:21" ht="18" x14ac:dyDescent="0.2">
      <c r="A403" s="189" t="s">
        <v>670</v>
      </c>
      <c r="B403" s="170" t="s">
        <v>907</v>
      </c>
      <c r="C403" s="171">
        <v>1</v>
      </c>
      <c r="D403" s="183"/>
      <c r="E403" s="183"/>
      <c r="F403" s="183"/>
      <c r="G403" s="184" t="s">
        <v>704</v>
      </c>
      <c r="H403" s="151"/>
      <c r="I403" s="151"/>
      <c r="J403" s="151"/>
      <c r="K403" s="151"/>
      <c r="L403" s="156"/>
      <c r="M403" s="157"/>
      <c r="N403" s="157"/>
      <c r="O403" s="157"/>
      <c r="P403" s="157"/>
      <c r="Q403" s="157"/>
      <c r="R403" s="157"/>
      <c r="S403" s="157"/>
      <c r="T403" s="158"/>
      <c r="U403" s="168"/>
    </row>
    <row r="404" spans="1:21" ht="21" x14ac:dyDescent="0.2">
      <c r="A404" s="189" t="s">
        <v>187</v>
      </c>
      <c r="B404" s="232" t="s">
        <v>345</v>
      </c>
      <c r="C404" s="171">
        <v>1</v>
      </c>
      <c r="D404" s="183"/>
      <c r="E404" s="183"/>
      <c r="F404" s="183"/>
      <c r="G404" s="184" t="s">
        <v>705</v>
      </c>
      <c r="H404" s="151"/>
      <c r="I404" s="151"/>
      <c r="J404" s="151"/>
      <c r="K404" s="151"/>
      <c r="L404" s="156"/>
      <c r="M404" s="157"/>
      <c r="N404" s="157"/>
      <c r="O404" s="157"/>
      <c r="P404" s="157"/>
      <c r="Q404" s="157"/>
      <c r="R404" s="157"/>
      <c r="S404" s="157"/>
      <c r="T404" s="158"/>
      <c r="U404" s="168"/>
    </row>
    <row r="405" spans="1:21" ht="18" x14ac:dyDescent="0.2">
      <c r="A405" s="189" t="s">
        <v>670</v>
      </c>
      <c r="B405" s="170" t="s">
        <v>907</v>
      </c>
      <c r="C405" s="171">
        <v>1</v>
      </c>
      <c r="D405" s="183"/>
      <c r="E405" s="183"/>
      <c r="F405" s="183"/>
      <c r="G405" s="184" t="s">
        <v>704</v>
      </c>
      <c r="H405" s="151"/>
      <c r="I405" s="151"/>
      <c r="J405" s="151"/>
      <c r="K405" s="151"/>
      <c r="L405" s="156"/>
      <c r="M405" s="157"/>
      <c r="N405" s="157"/>
      <c r="O405" s="157"/>
      <c r="P405" s="157"/>
      <c r="Q405" s="157"/>
      <c r="R405" s="157"/>
      <c r="S405" s="157"/>
      <c r="T405" s="158"/>
      <c r="U405" s="168"/>
    </row>
    <row r="406" spans="1:21" ht="12.75" x14ac:dyDescent="0.2">
      <c r="A406" s="189" t="s">
        <v>119</v>
      </c>
      <c r="B406" s="232" t="s">
        <v>345</v>
      </c>
      <c r="C406" s="171">
        <v>1</v>
      </c>
      <c r="D406" s="183"/>
      <c r="E406" s="183"/>
      <c r="F406" s="183"/>
      <c r="G406" s="184" t="s">
        <v>705</v>
      </c>
      <c r="H406" s="151"/>
      <c r="I406" s="151"/>
      <c r="J406" s="151"/>
      <c r="K406" s="151"/>
      <c r="L406" s="156"/>
      <c r="M406" s="157"/>
      <c r="N406" s="157"/>
      <c r="O406" s="157"/>
      <c r="P406" s="157"/>
      <c r="Q406" s="157"/>
      <c r="R406" s="157"/>
      <c r="S406" s="157"/>
      <c r="T406" s="158"/>
      <c r="U406" s="168"/>
    </row>
    <row r="407" spans="1:21" ht="18" x14ac:dyDescent="0.2">
      <c r="A407" s="189" t="s">
        <v>670</v>
      </c>
      <c r="B407" s="170" t="s">
        <v>907</v>
      </c>
      <c r="C407" s="171">
        <v>1</v>
      </c>
      <c r="D407" s="183"/>
      <c r="E407" s="183"/>
      <c r="F407" s="183"/>
      <c r="G407" s="184" t="s">
        <v>704</v>
      </c>
      <c r="H407" s="151"/>
      <c r="I407" s="151"/>
      <c r="J407" s="151"/>
      <c r="K407" s="151"/>
      <c r="L407" s="156"/>
      <c r="M407" s="157"/>
      <c r="N407" s="157"/>
      <c r="O407" s="157"/>
      <c r="P407" s="157"/>
      <c r="Q407" s="157"/>
      <c r="R407" s="157"/>
      <c r="S407" s="157"/>
      <c r="T407" s="158"/>
      <c r="U407" s="168"/>
    </row>
    <row r="408" spans="1:21" ht="21" x14ac:dyDescent="0.2">
      <c r="A408" s="189" t="s">
        <v>120</v>
      </c>
      <c r="B408" s="232" t="s">
        <v>345</v>
      </c>
      <c r="C408" s="171">
        <v>1</v>
      </c>
      <c r="D408" s="183"/>
      <c r="E408" s="183"/>
      <c r="F408" s="183"/>
      <c r="G408" s="184" t="s">
        <v>705</v>
      </c>
      <c r="H408" s="151"/>
      <c r="I408" s="151"/>
      <c r="J408" s="151"/>
      <c r="K408" s="151"/>
      <c r="L408" s="156"/>
      <c r="M408" s="157"/>
      <c r="N408" s="157"/>
      <c r="O408" s="157"/>
      <c r="P408" s="157"/>
      <c r="Q408" s="157"/>
      <c r="R408" s="157"/>
      <c r="S408" s="157"/>
      <c r="T408" s="158"/>
      <c r="U408" s="168"/>
    </row>
    <row r="409" spans="1:21" ht="18" x14ac:dyDescent="0.2">
      <c r="A409" s="189" t="s">
        <v>670</v>
      </c>
      <c r="B409" s="170" t="s">
        <v>907</v>
      </c>
      <c r="C409" s="171">
        <v>1</v>
      </c>
      <c r="D409" s="183"/>
      <c r="E409" s="183"/>
      <c r="F409" s="183"/>
      <c r="G409" s="184" t="s">
        <v>704</v>
      </c>
      <c r="H409" s="151"/>
      <c r="I409" s="151"/>
      <c r="J409" s="151"/>
      <c r="K409" s="151"/>
      <c r="L409" s="156"/>
      <c r="M409" s="157"/>
      <c r="N409" s="157"/>
      <c r="O409" s="157"/>
      <c r="P409" s="157"/>
      <c r="Q409" s="157"/>
      <c r="R409" s="157"/>
      <c r="S409" s="157"/>
      <c r="T409" s="158"/>
      <c r="U409" s="168"/>
    </row>
    <row r="410" spans="1:21" ht="21" x14ac:dyDescent="0.2">
      <c r="A410" s="189" t="s">
        <v>121</v>
      </c>
      <c r="B410" s="232" t="s">
        <v>345</v>
      </c>
      <c r="C410" s="171">
        <v>1</v>
      </c>
      <c r="D410" s="183"/>
      <c r="E410" s="183"/>
      <c r="F410" s="183"/>
      <c r="G410" s="184" t="s">
        <v>705</v>
      </c>
      <c r="H410" s="151"/>
      <c r="I410" s="151"/>
      <c r="J410" s="151"/>
      <c r="K410" s="151"/>
      <c r="L410" s="156"/>
      <c r="M410" s="157"/>
      <c r="N410" s="157"/>
      <c r="O410" s="157"/>
      <c r="P410" s="157"/>
      <c r="Q410" s="157"/>
      <c r="R410" s="157"/>
      <c r="S410" s="157"/>
      <c r="T410" s="158"/>
      <c r="U410" s="168"/>
    </row>
    <row r="411" spans="1:21" ht="18" x14ac:dyDescent="0.2">
      <c r="A411" s="189" t="s">
        <v>670</v>
      </c>
      <c r="B411" s="170" t="s">
        <v>907</v>
      </c>
      <c r="C411" s="171">
        <v>1</v>
      </c>
      <c r="D411" s="183"/>
      <c r="E411" s="183"/>
      <c r="F411" s="183"/>
      <c r="G411" s="184" t="s">
        <v>704</v>
      </c>
      <c r="H411" s="151"/>
      <c r="I411" s="151"/>
      <c r="J411" s="151"/>
      <c r="K411" s="151"/>
      <c r="L411" s="156"/>
      <c r="M411" s="157"/>
      <c r="N411" s="157"/>
      <c r="O411" s="157"/>
      <c r="P411" s="157"/>
      <c r="Q411" s="157"/>
      <c r="R411" s="157"/>
      <c r="S411" s="157"/>
      <c r="T411" s="158"/>
      <c r="U411" s="168"/>
    </row>
    <row r="412" spans="1:21" ht="31.5" x14ac:dyDescent="0.2">
      <c r="A412" s="189" t="s">
        <v>122</v>
      </c>
      <c r="B412" s="232" t="s">
        <v>345</v>
      </c>
      <c r="C412" s="171">
        <v>1</v>
      </c>
      <c r="D412" s="183"/>
      <c r="E412" s="183"/>
      <c r="F412" s="183"/>
      <c r="G412" s="184" t="s">
        <v>705</v>
      </c>
      <c r="H412" s="151"/>
      <c r="I412" s="151"/>
      <c r="J412" s="151"/>
      <c r="K412" s="151"/>
      <c r="L412" s="156"/>
      <c r="M412" s="157"/>
      <c r="N412" s="157"/>
      <c r="O412" s="157"/>
      <c r="P412" s="157"/>
      <c r="Q412" s="157"/>
      <c r="R412" s="157"/>
      <c r="S412" s="157"/>
      <c r="T412" s="158"/>
      <c r="U412" s="168"/>
    </row>
    <row r="413" spans="1:21" ht="18" x14ac:dyDescent="0.2">
      <c r="A413" s="189" t="s">
        <v>670</v>
      </c>
      <c r="B413" s="170" t="s">
        <v>907</v>
      </c>
      <c r="C413" s="171">
        <v>1</v>
      </c>
      <c r="D413" s="183"/>
      <c r="E413" s="183"/>
      <c r="F413" s="183"/>
      <c r="G413" s="184" t="s">
        <v>704</v>
      </c>
      <c r="H413" s="151"/>
      <c r="I413" s="151"/>
      <c r="J413" s="151"/>
      <c r="K413" s="151"/>
      <c r="L413" s="156"/>
      <c r="M413" s="157"/>
      <c r="N413" s="157"/>
      <c r="O413" s="157"/>
      <c r="P413" s="157"/>
      <c r="Q413" s="157"/>
      <c r="R413" s="157"/>
      <c r="S413" s="157"/>
      <c r="T413" s="158"/>
      <c r="U413" s="168"/>
    </row>
    <row r="414" spans="1:21" ht="21" x14ac:dyDescent="0.2">
      <c r="A414" s="189" t="s">
        <v>123</v>
      </c>
      <c r="B414" s="232" t="s">
        <v>345</v>
      </c>
      <c r="C414" s="171">
        <v>1</v>
      </c>
      <c r="D414" s="183"/>
      <c r="E414" s="183"/>
      <c r="F414" s="183"/>
      <c r="G414" s="184" t="s">
        <v>705</v>
      </c>
      <c r="H414" s="151"/>
      <c r="I414" s="151"/>
      <c r="J414" s="151"/>
      <c r="K414" s="151"/>
      <c r="L414" s="156"/>
      <c r="M414" s="157"/>
      <c r="N414" s="157"/>
      <c r="O414" s="157"/>
      <c r="P414" s="157"/>
      <c r="Q414" s="157"/>
      <c r="R414" s="157"/>
      <c r="S414" s="157"/>
      <c r="T414" s="158"/>
      <c r="U414" s="168"/>
    </row>
    <row r="415" spans="1:21" ht="18" x14ac:dyDescent="0.2">
      <c r="A415" s="189" t="s">
        <v>670</v>
      </c>
      <c r="B415" s="170" t="s">
        <v>907</v>
      </c>
      <c r="C415" s="171">
        <v>1</v>
      </c>
      <c r="D415" s="183"/>
      <c r="E415" s="183"/>
      <c r="F415" s="183"/>
      <c r="G415" s="184" t="s">
        <v>704</v>
      </c>
      <c r="H415" s="151"/>
      <c r="I415" s="151"/>
      <c r="J415" s="151"/>
      <c r="K415" s="151"/>
      <c r="L415" s="156"/>
      <c r="M415" s="157"/>
      <c r="N415" s="157"/>
      <c r="O415" s="157"/>
      <c r="P415" s="157"/>
      <c r="Q415" s="157"/>
      <c r="R415" s="157"/>
      <c r="S415" s="157"/>
      <c r="T415" s="158"/>
      <c r="U415" s="168"/>
    </row>
    <row r="416" spans="1:21" ht="31.5" x14ac:dyDescent="0.2">
      <c r="A416" s="189" t="s">
        <v>124</v>
      </c>
      <c r="B416" s="232" t="s">
        <v>345</v>
      </c>
      <c r="C416" s="171">
        <v>1</v>
      </c>
      <c r="D416" s="183"/>
      <c r="E416" s="183"/>
      <c r="F416" s="183"/>
      <c r="G416" s="184" t="s">
        <v>705</v>
      </c>
      <c r="H416" s="151"/>
      <c r="I416" s="151"/>
      <c r="J416" s="151"/>
      <c r="K416" s="151"/>
      <c r="L416" s="156"/>
      <c r="M416" s="157"/>
      <c r="N416" s="157"/>
      <c r="O416" s="157"/>
      <c r="P416" s="157"/>
      <c r="Q416" s="157"/>
      <c r="R416" s="157"/>
      <c r="S416" s="157"/>
      <c r="T416" s="158"/>
      <c r="U416" s="168"/>
    </row>
    <row r="417" spans="1:21" ht="18" x14ac:dyDescent="0.2">
      <c r="A417" s="189" t="s">
        <v>670</v>
      </c>
      <c r="B417" s="170" t="s">
        <v>907</v>
      </c>
      <c r="C417" s="171">
        <v>1</v>
      </c>
      <c r="D417" s="183"/>
      <c r="E417" s="183"/>
      <c r="F417" s="183"/>
      <c r="G417" s="184" t="s">
        <v>704</v>
      </c>
      <c r="H417" s="151"/>
      <c r="I417" s="151"/>
      <c r="J417" s="151"/>
      <c r="K417" s="151"/>
      <c r="L417" s="156"/>
      <c r="M417" s="157"/>
      <c r="N417" s="157"/>
      <c r="O417" s="157"/>
      <c r="P417" s="157"/>
      <c r="Q417" s="157"/>
      <c r="R417" s="157"/>
      <c r="S417" s="157"/>
      <c r="T417" s="158"/>
      <c r="U417" s="168"/>
    </row>
    <row r="418" spans="1:21" ht="21" x14ac:dyDescent="0.2">
      <c r="A418" s="189" t="s">
        <v>125</v>
      </c>
      <c r="B418" s="232" t="s">
        <v>345</v>
      </c>
      <c r="C418" s="171">
        <v>1</v>
      </c>
      <c r="D418" s="183"/>
      <c r="E418" s="183"/>
      <c r="F418" s="183"/>
      <c r="G418" s="184" t="s">
        <v>705</v>
      </c>
      <c r="H418" s="151"/>
      <c r="I418" s="151"/>
      <c r="J418" s="151"/>
      <c r="K418" s="151"/>
      <c r="L418" s="156"/>
      <c r="M418" s="157"/>
      <c r="N418" s="157"/>
      <c r="O418" s="157"/>
      <c r="P418" s="157"/>
      <c r="Q418" s="157"/>
      <c r="R418" s="157"/>
      <c r="S418" s="157"/>
      <c r="T418" s="158"/>
      <c r="U418" s="168"/>
    </row>
    <row r="419" spans="1:21" ht="18" x14ac:dyDescent="0.2">
      <c r="A419" s="189" t="s">
        <v>670</v>
      </c>
      <c r="B419" s="170" t="s">
        <v>907</v>
      </c>
      <c r="C419" s="171">
        <v>1</v>
      </c>
      <c r="D419" s="183"/>
      <c r="E419" s="183"/>
      <c r="F419" s="183"/>
      <c r="G419" s="184" t="s">
        <v>704</v>
      </c>
      <c r="H419" s="151"/>
      <c r="I419" s="151"/>
      <c r="J419" s="151"/>
      <c r="K419" s="151"/>
      <c r="L419" s="156"/>
      <c r="M419" s="157"/>
      <c r="N419" s="157"/>
      <c r="O419" s="157"/>
      <c r="P419" s="157"/>
      <c r="Q419" s="157"/>
      <c r="R419" s="157"/>
      <c r="S419" s="157"/>
      <c r="T419" s="158"/>
      <c r="U419" s="168"/>
    </row>
    <row r="420" spans="1:21" ht="12.75" x14ac:dyDescent="0.2">
      <c r="A420" s="189" t="s">
        <v>126</v>
      </c>
      <c r="B420" s="232" t="s">
        <v>345</v>
      </c>
      <c r="C420" s="171">
        <v>1</v>
      </c>
      <c r="D420" s="183"/>
      <c r="E420" s="183"/>
      <c r="F420" s="183"/>
      <c r="G420" s="184" t="s">
        <v>705</v>
      </c>
      <c r="H420" s="151"/>
      <c r="I420" s="151"/>
      <c r="J420" s="151"/>
      <c r="K420" s="151"/>
      <c r="L420" s="156"/>
      <c r="M420" s="157"/>
      <c r="N420" s="157"/>
      <c r="O420" s="157"/>
      <c r="P420" s="157"/>
      <c r="Q420" s="157"/>
      <c r="R420" s="157"/>
      <c r="S420" s="157"/>
      <c r="T420" s="158"/>
      <c r="U420" s="168"/>
    </row>
    <row r="421" spans="1:21" ht="18" x14ac:dyDescent="0.2">
      <c r="A421" s="189" t="s">
        <v>670</v>
      </c>
      <c r="B421" s="170" t="s">
        <v>907</v>
      </c>
      <c r="C421" s="171">
        <v>1</v>
      </c>
      <c r="D421" s="183"/>
      <c r="E421" s="183"/>
      <c r="F421" s="183"/>
      <c r="G421" s="184" t="s">
        <v>704</v>
      </c>
      <c r="H421" s="151"/>
      <c r="I421" s="151"/>
      <c r="J421" s="151"/>
      <c r="K421" s="151"/>
      <c r="L421" s="156"/>
      <c r="M421" s="157"/>
      <c r="N421" s="157"/>
      <c r="O421" s="157"/>
      <c r="P421" s="157"/>
      <c r="Q421" s="157"/>
      <c r="R421" s="157"/>
      <c r="S421" s="157"/>
      <c r="T421" s="158"/>
      <c r="U421" s="168"/>
    </row>
    <row r="422" spans="1:21" ht="21" x14ac:dyDescent="0.2">
      <c r="A422" s="175" t="s">
        <v>79</v>
      </c>
      <c r="B422" s="232" t="s">
        <v>345</v>
      </c>
      <c r="C422" s="171">
        <v>1</v>
      </c>
      <c r="D422" s="183"/>
      <c r="E422" s="183"/>
      <c r="F422" s="183"/>
      <c r="G422" s="184" t="s">
        <v>705</v>
      </c>
      <c r="H422" s="151"/>
      <c r="I422" s="151"/>
      <c r="J422" s="151"/>
      <c r="K422" s="151"/>
      <c r="L422" s="156"/>
      <c r="M422" s="157"/>
      <c r="N422" s="157"/>
      <c r="O422" s="157"/>
      <c r="P422" s="157"/>
      <c r="Q422" s="157"/>
      <c r="R422" s="157"/>
      <c r="S422" s="157"/>
      <c r="T422" s="158"/>
      <c r="U422" s="168"/>
    </row>
    <row r="423" spans="1:21" ht="18" x14ac:dyDescent="0.2">
      <c r="A423" s="175" t="s">
        <v>670</v>
      </c>
      <c r="B423" s="170" t="s">
        <v>907</v>
      </c>
      <c r="C423" s="171">
        <v>1</v>
      </c>
      <c r="D423" s="183"/>
      <c r="E423" s="183"/>
      <c r="F423" s="183"/>
      <c r="G423" s="184" t="s">
        <v>704</v>
      </c>
      <c r="H423" s="151"/>
      <c r="I423" s="151"/>
      <c r="J423" s="151"/>
      <c r="K423" s="151"/>
      <c r="L423" s="156"/>
      <c r="M423" s="157"/>
      <c r="N423" s="157"/>
      <c r="O423" s="157"/>
      <c r="P423" s="157"/>
      <c r="Q423" s="157"/>
      <c r="R423" s="157"/>
      <c r="S423" s="157"/>
      <c r="T423" s="158"/>
      <c r="U423" s="168"/>
    </row>
    <row r="424" spans="1:21" ht="12.75" x14ac:dyDescent="0.2">
      <c r="A424" s="175" t="s">
        <v>80</v>
      </c>
      <c r="B424" s="232" t="s">
        <v>345</v>
      </c>
      <c r="C424" s="171">
        <v>1</v>
      </c>
      <c r="D424" s="183"/>
      <c r="E424" s="183"/>
      <c r="F424" s="183"/>
      <c r="G424" s="184" t="s">
        <v>705</v>
      </c>
      <c r="H424" s="151"/>
      <c r="I424" s="151"/>
      <c r="J424" s="151"/>
      <c r="K424" s="151"/>
      <c r="L424" s="156"/>
      <c r="M424" s="157"/>
      <c r="N424" s="157"/>
      <c r="O424" s="157"/>
      <c r="P424" s="157"/>
      <c r="Q424" s="157"/>
      <c r="R424" s="157"/>
      <c r="S424" s="157"/>
      <c r="T424" s="158"/>
      <c r="U424" s="168"/>
    </row>
    <row r="425" spans="1:21" ht="18" x14ac:dyDescent="0.2">
      <c r="A425" s="175" t="s">
        <v>670</v>
      </c>
      <c r="B425" s="170" t="s">
        <v>907</v>
      </c>
      <c r="C425" s="171">
        <v>1</v>
      </c>
      <c r="D425" s="183"/>
      <c r="E425" s="183"/>
      <c r="F425" s="183"/>
      <c r="G425" s="184" t="s">
        <v>704</v>
      </c>
      <c r="H425" s="151"/>
      <c r="I425" s="151"/>
      <c r="J425" s="151"/>
      <c r="K425" s="151"/>
      <c r="L425" s="156"/>
      <c r="M425" s="157"/>
      <c r="N425" s="157"/>
      <c r="O425" s="157"/>
      <c r="P425" s="157"/>
      <c r="Q425" s="157"/>
      <c r="R425" s="157"/>
      <c r="S425" s="157"/>
      <c r="T425" s="158"/>
      <c r="U425" s="168"/>
    </row>
    <row r="426" spans="1:21" ht="42" x14ac:dyDescent="0.2">
      <c r="A426" s="175" t="s">
        <v>81</v>
      </c>
      <c r="B426" s="232" t="s">
        <v>345</v>
      </c>
      <c r="C426" s="171">
        <v>1</v>
      </c>
      <c r="D426" s="183"/>
      <c r="E426" s="183"/>
      <c r="F426" s="183"/>
      <c r="G426" s="184" t="s">
        <v>705</v>
      </c>
      <c r="H426" s="151"/>
      <c r="I426" s="151"/>
      <c r="J426" s="151"/>
      <c r="K426" s="151"/>
      <c r="L426" s="156"/>
      <c r="M426" s="157"/>
      <c r="N426" s="157"/>
      <c r="O426" s="157"/>
      <c r="P426" s="157"/>
      <c r="Q426" s="157"/>
      <c r="R426" s="157"/>
      <c r="S426" s="157"/>
      <c r="T426" s="158"/>
      <c r="U426" s="168"/>
    </row>
    <row r="427" spans="1:21" ht="18" x14ac:dyDescent="0.2">
      <c r="A427" s="175" t="s">
        <v>670</v>
      </c>
      <c r="B427" s="170" t="s">
        <v>907</v>
      </c>
      <c r="C427" s="171">
        <v>1</v>
      </c>
      <c r="D427" s="183"/>
      <c r="E427" s="183"/>
      <c r="F427" s="183"/>
      <c r="G427" s="184" t="s">
        <v>704</v>
      </c>
      <c r="H427" s="151"/>
      <c r="I427" s="151"/>
      <c r="J427" s="151"/>
      <c r="K427" s="151"/>
      <c r="L427" s="156"/>
      <c r="M427" s="157"/>
      <c r="N427" s="157"/>
      <c r="O427" s="157"/>
      <c r="P427" s="157"/>
      <c r="Q427" s="157"/>
      <c r="R427" s="157"/>
      <c r="S427" s="157"/>
      <c r="T427" s="158"/>
      <c r="U427" s="168"/>
    </row>
    <row r="428" spans="1:21" ht="12.75" x14ac:dyDescent="0.2">
      <c r="A428" s="175" t="s">
        <v>127</v>
      </c>
      <c r="B428" s="232" t="s">
        <v>345</v>
      </c>
      <c r="C428" s="171">
        <v>1</v>
      </c>
      <c r="D428" s="183"/>
      <c r="E428" s="183"/>
      <c r="F428" s="183"/>
      <c r="G428" s="184" t="s">
        <v>705</v>
      </c>
      <c r="H428" s="151"/>
      <c r="I428" s="151"/>
      <c r="J428" s="151"/>
      <c r="K428" s="151"/>
      <c r="L428" s="156"/>
      <c r="M428" s="157"/>
      <c r="N428" s="157"/>
      <c r="O428" s="157"/>
      <c r="P428" s="157"/>
      <c r="Q428" s="157"/>
      <c r="R428" s="157"/>
      <c r="S428" s="157"/>
      <c r="T428" s="158"/>
      <c r="U428" s="168"/>
    </row>
    <row r="429" spans="1:21" ht="18" x14ac:dyDescent="0.2">
      <c r="A429" s="175" t="s">
        <v>670</v>
      </c>
      <c r="B429" s="170" t="s">
        <v>907</v>
      </c>
      <c r="C429" s="171">
        <v>1</v>
      </c>
      <c r="D429" s="183"/>
      <c r="E429" s="183"/>
      <c r="F429" s="183"/>
      <c r="G429" s="184" t="s">
        <v>704</v>
      </c>
      <c r="H429" s="151"/>
      <c r="I429" s="151"/>
      <c r="J429" s="151"/>
      <c r="K429" s="151"/>
      <c r="L429" s="156"/>
      <c r="M429" s="157"/>
      <c r="N429" s="157"/>
      <c r="O429" s="157"/>
      <c r="P429" s="157"/>
      <c r="Q429" s="157"/>
      <c r="R429" s="157"/>
      <c r="S429" s="157"/>
      <c r="T429" s="158"/>
      <c r="U429" s="168"/>
    </row>
    <row r="430" spans="1:21" ht="12.75" x14ac:dyDescent="0.2">
      <c r="A430" s="175" t="s">
        <v>128</v>
      </c>
      <c r="B430" s="232" t="s">
        <v>345</v>
      </c>
      <c r="C430" s="171">
        <v>1</v>
      </c>
      <c r="D430" s="183"/>
      <c r="E430" s="183"/>
      <c r="F430" s="183"/>
      <c r="G430" s="184" t="s">
        <v>705</v>
      </c>
      <c r="H430" s="151"/>
      <c r="I430" s="151"/>
      <c r="J430" s="151"/>
      <c r="K430" s="151"/>
      <c r="L430" s="156"/>
      <c r="M430" s="157"/>
      <c r="N430" s="157"/>
      <c r="O430" s="157"/>
      <c r="P430" s="157"/>
      <c r="Q430" s="157"/>
      <c r="R430" s="157"/>
      <c r="S430" s="157"/>
      <c r="T430" s="158"/>
      <c r="U430" s="168"/>
    </row>
    <row r="431" spans="1:21" ht="18" x14ac:dyDescent="0.2">
      <c r="A431" s="175" t="s">
        <v>670</v>
      </c>
      <c r="B431" s="170" t="s">
        <v>907</v>
      </c>
      <c r="C431" s="171">
        <v>1</v>
      </c>
      <c r="D431" s="183"/>
      <c r="E431" s="183"/>
      <c r="F431" s="183"/>
      <c r="G431" s="184" t="s">
        <v>704</v>
      </c>
      <c r="H431" s="151"/>
      <c r="I431" s="151"/>
      <c r="J431" s="151"/>
      <c r="K431" s="151"/>
      <c r="L431" s="156"/>
      <c r="M431" s="157"/>
      <c r="N431" s="157"/>
      <c r="O431" s="157"/>
      <c r="P431" s="157"/>
      <c r="Q431" s="157"/>
      <c r="R431" s="157"/>
      <c r="S431" s="157"/>
      <c r="T431" s="158"/>
      <c r="U431" s="168"/>
    </row>
    <row r="432" spans="1:21" ht="12.75" x14ac:dyDescent="0.2">
      <c r="A432" s="175" t="s">
        <v>129</v>
      </c>
      <c r="B432" s="232" t="s">
        <v>345</v>
      </c>
      <c r="C432" s="171">
        <v>1</v>
      </c>
      <c r="D432" s="183"/>
      <c r="E432" s="183"/>
      <c r="F432" s="183"/>
      <c r="G432" s="184" t="s">
        <v>705</v>
      </c>
      <c r="H432" s="151"/>
      <c r="I432" s="151"/>
      <c r="J432" s="151"/>
      <c r="K432" s="151"/>
      <c r="L432" s="156"/>
      <c r="M432" s="157"/>
      <c r="N432" s="157"/>
      <c r="O432" s="157"/>
      <c r="P432" s="157"/>
      <c r="Q432" s="157"/>
      <c r="R432" s="157"/>
      <c r="S432" s="157"/>
      <c r="T432" s="158"/>
      <c r="U432" s="168"/>
    </row>
    <row r="433" spans="1:21" ht="18" x14ac:dyDescent="0.2">
      <c r="A433" s="175" t="s">
        <v>670</v>
      </c>
      <c r="B433" s="170" t="s">
        <v>907</v>
      </c>
      <c r="C433" s="171">
        <v>1</v>
      </c>
      <c r="D433" s="183"/>
      <c r="E433" s="183"/>
      <c r="F433" s="183"/>
      <c r="G433" s="184" t="s">
        <v>704</v>
      </c>
      <c r="H433" s="151"/>
      <c r="I433" s="151"/>
      <c r="J433" s="151"/>
      <c r="K433" s="151"/>
      <c r="L433" s="156"/>
      <c r="M433" s="157"/>
      <c r="N433" s="157"/>
      <c r="O433" s="157"/>
      <c r="P433" s="157"/>
      <c r="Q433" s="157"/>
      <c r="R433" s="157"/>
      <c r="S433" s="157"/>
      <c r="T433" s="158"/>
      <c r="U433" s="168"/>
    </row>
    <row r="434" spans="1:21" ht="21" x14ac:dyDescent="0.2">
      <c r="A434" s="175" t="s">
        <v>130</v>
      </c>
      <c r="B434" s="232" t="s">
        <v>345</v>
      </c>
      <c r="C434" s="171">
        <v>1</v>
      </c>
      <c r="D434" s="183"/>
      <c r="E434" s="183"/>
      <c r="F434" s="183"/>
      <c r="G434" s="184" t="s">
        <v>705</v>
      </c>
      <c r="H434" s="151"/>
      <c r="I434" s="151"/>
      <c r="J434" s="151"/>
      <c r="K434" s="151"/>
      <c r="L434" s="156"/>
      <c r="M434" s="157"/>
      <c r="N434" s="157"/>
      <c r="O434" s="157"/>
      <c r="P434" s="157"/>
      <c r="Q434" s="157"/>
      <c r="R434" s="157"/>
      <c r="S434" s="157"/>
      <c r="T434" s="158"/>
      <c r="U434" s="168"/>
    </row>
    <row r="435" spans="1:21" ht="18" x14ac:dyDescent="0.2">
      <c r="A435" s="175" t="s">
        <v>670</v>
      </c>
      <c r="B435" s="170" t="s">
        <v>907</v>
      </c>
      <c r="C435" s="171">
        <v>1</v>
      </c>
      <c r="D435" s="183"/>
      <c r="E435" s="183"/>
      <c r="F435" s="183"/>
      <c r="G435" s="184" t="s">
        <v>704</v>
      </c>
      <c r="H435" s="151"/>
      <c r="I435" s="151"/>
      <c r="J435" s="151"/>
      <c r="K435" s="151"/>
      <c r="L435" s="156"/>
      <c r="M435" s="157"/>
      <c r="N435" s="157"/>
      <c r="O435" s="157"/>
      <c r="P435" s="157"/>
      <c r="Q435" s="157"/>
      <c r="R435" s="157"/>
      <c r="S435" s="157"/>
      <c r="T435" s="158"/>
      <c r="U435" s="168"/>
    </row>
    <row r="436" spans="1:21" ht="31.5" x14ac:dyDescent="0.2">
      <c r="A436" s="175" t="s">
        <v>131</v>
      </c>
      <c r="B436" s="232" t="s">
        <v>345</v>
      </c>
      <c r="C436" s="171">
        <v>1</v>
      </c>
      <c r="D436" s="183"/>
      <c r="E436" s="183"/>
      <c r="F436" s="183"/>
      <c r="G436" s="184" t="s">
        <v>705</v>
      </c>
      <c r="H436" s="151"/>
      <c r="I436" s="151"/>
      <c r="J436" s="151"/>
      <c r="K436" s="151"/>
      <c r="L436" s="156"/>
      <c r="M436" s="157"/>
      <c r="N436" s="157"/>
      <c r="O436" s="157"/>
      <c r="P436" s="157"/>
      <c r="Q436" s="157"/>
      <c r="R436" s="157"/>
      <c r="S436" s="157"/>
      <c r="T436" s="158"/>
      <c r="U436" s="168"/>
    </row>
    <row r="437" spans="1:21" ht="18" x14ac:dyDescent="0.2">
      <c r="A437" s="175" t="s">
        <v>670</v>
      </c>
      <c r="B437" s="170" t="s">
        <v>907</v>
      </c>
      <c r="C437" s="171">
        <v>1</v>
      </c>
      <c r="D437" s="183"/>
      <c r="E437" s="183"/>
      <c r="F437" s="183"/>
      <c r="G437" s="184" t="s">
        <v>704</v>
      </c>
      <c r="H437" s="151"/>
      <c r="I437" s="151"/>
      <c r="J437" s="151"/>
      <c r="K437" s="151"/>
      <c r="L437" s="156"/>
      <c r="M437" s="157"/>
      <c r="N437" s="157"/>
      <c r="O437" s="157"/>
      <c r="P437" s="157"/>
      <c r="Q437" s="157"/>
      <c r="R437" s="157"/>
      <c r="S437" s="157"/>
      <c r="T437" s="158"/>
      <c r="U437" s="168"/>
    </row>
    <row r="438" spans="1:21" ht="12.75" x14ac:dyDescent="0.2">
      <c r="A438" s="175" t="s">
        <v>132</v>
      </c>
      <c r="B438" s="232" t="s">
        <v>345</v>
      </c>
      <c r="C438" s="171">
        <v>1</v>
      </c>
      <c r="D438" s="183"/>
      <c r="E438" s="183"/>
      <c r="F438" s="183"/>
      <c r="G438" s="184" t="s">
        <v>705</v>
      </c>
      <c r="H438" s="151"/>
      <c r="I438" s="151"/>
      <c r="J438" s="151"/>
      <c r="K438" s="151"/>
      <c r="L438" s="156"/>
      <c r="M438" s="157"/>
      <c r="N438" s="157"/>
      <c r="O438" s="157"/>
      <c r="P438" s="157"/>
      <c r="Q438" s="157"/>
      <c r="R438" s="157"/>
      <c r="S438" s="157"/>
      <c r="T438" s="158"/>
      <c r="U438" s="168"/>
    </row>
    <row r="439" spans="1:21" ht="18" x14ac:dyDescent="0.2">
      <c r="A439" s="175" t="s">
        <v>670</v>
      </c>
      <c r="B439" s="170" t="s">
        <v>907</v>
      </c>
      <c r="C439" s="171">
        <v>1</v>
      </c>
      <c r="D439" s="183"/>
      <c r="E439" s="183"/>
      <c r="F439" s="183"/>
      <c r="G439" s="184" t="s">
        <v>704</v>
      </c>
      <c r="H439" s="151"/>
      <c r="I439" s="151"/>
      <c r="J439" s="151"/>
      <c r="K439" s="151"/>
      <c r="L439" s="156"/>
      <c r="M439" s="157"/>
      <c r="N439" s="157"/>
      <c r="O439" s="157"/>
      <c r="P439" s="157"/>
      <c r="Q439" s="157"/>
      <c r="R439" s="157"/>
      <c r="S439" s="157"/>
      <c r="T439" s="158"/>
      <c r="U439" s="168"/>
    </row>
    <row r="440" spans="1:21" ht="21" x14ac:dyDescent="0.2">
      <c r="A440" s="175" t="s">
        <v>133</v>
      </c>
      <c r="B440" s="232" t="s">
        <v>345</v>
      </c>
      <c r="C440" s="171">
        <v>1</v>
      </c>
      <c r="D440" s="183"/>
      <c r="E440" s="183"/>
      <c r="F440" s="183"/>
      <c r="G440" s="184" t="s">
        <v>705</v>
      </c>
      <c r="H440" s="151"/>
      <c r="I440" s="151"/>
      <c r="J440" s="151"/>
      <c r="K440" s="151"/>
      <c r="L440" s="156"/>
      <c r="M440" s="157"/>
      <c r="N440" s="157"/>
      <c r="O440" s="157"/>
      <c r="P440" s="157"/>
      <c r="Q440" s="157"/>
      <c r="R440" s="157"/>
      <c r="S440" s="157"/>
      <c r="T440" s="158"/>
      <c r="U440" s="168"/>
    </row>
    <row r="441" spans="1:21" ht="18" x14ac:dyDescent="0.2">
      <c r="A441" s="175" t="s">
        <v>670</v>
      </c>
      <c r="B441" s="170" t="s">
        <v>907</v>
      </c>
      <c r="C441" s="171">
        <v>1</v>
      </c>
      <c r="D441" s="183"/>
      <c r="E441" s="183"/>
      <c r="F441" s="183"/>
      <c r="G441" s="184" t="s">
        <v>704</v>
      </c>
      <c r="H441" s="151"/>
      <c r="I441" s="151"/>
      <c r="J441" s="151"/>
      <c r="K441" s="151"/>
      <c r="L441" s="156"/>
      <c r="M441" s="157"/>
      <c r="N441" s="157"/>
      <c r="O441" s="157"/>
      <c r="P441" s="157"/>
      <c r="Q441" s="157"/>
      <c r="R441" s="157"/>
      <c r="S441" s="157"/>
      <c r="T441" s="158"/>
      <c r="U441" s="168"/>
    </row>
    <row r="442" spans="1:21" ht="31.5" x14ac:dyDescent="0.2">
      <c r="A442" s="175" t="s">
        <v>134</v>
      </c>
      <c r="B442" s="232" t="s">
        <v>345</v>
      </c>
      <c r="C442" s="171">
        <v>1</v>
      </c>
      <c r="D442" s="183"/>
      <c r="E442" s="183"/>
      <c r="F442" s="183"/>
      <c r="G442" s="184" t="s">
        <v>705</v>
      </c>
      <c r="H442" s="151"/>
      <c r="I442" s="151"/>
      <c r="J442" s="151"/>
      <c r="K442" s="151"/>
      <c r="L442" s="156"/>
      <c r="M442" s="157"/>
      <c r="N442" s="157"/>
      <c r="O442" s="157"/>
      <c r="P442" s="157"/>
      <c r="Q442" s="157"/>
      <c r="R442" s="157"/>
      <c r="S442" s="157"/>
      <c r="T442" s="158"/>
      <c r="U442" s="168"/>
    </row>
    <row r="443" spans="1:21" ht="18" x14ac:dyDescent="0.2">
      <c r="A443" s="175" t="s">
        <v>670</v>
      </c>
      <c r="B443" s="170" t="s">
        <v>907</v>
      </c>
      <c r="C443" s="171">
        <v>1</v>
      </c>
      <c r="D443" s="183"/>
      <c r="E443" s="183"/>
      <c r="F443" s="183"/>
      <c r="G443" s="184" t="s">
        <v>704</v>
      </c>
      <c r="H443" s="151"/>
      <c r="I443" s="151"/>
      <c r="J443" s="151"/>
      <c r="K443" s="151"/>
      <c r="L443" s="156"/>
      <c r="M443" s="157"/>
      <c r="N443" s="157"/>
      <c r="O443" s="157"/>
      <c r="P443" s="157"/>
      <c r="Q443" s="157"/>
      <c r="R443" s="157"/>
      <c r="S443" s="157"/>
      <c r="T443" s="158"/>
      <c r="U443" s="168"/>
    </row>
    <row r="444" spans="1:21" ht="21" x14ac:dyDescent="0.2">
      <c r="A444" s="175" t="s">
        <v>135</v>
      </c>
      <c r="B444" s="232" t="s">
        <v>345</v>
      </c>
      <c r="C444" s="171">
        <v>1</v>
      </c>
      <c r="D444" s="183"/>
      <c r="E444" s="183"/>
      <c r="F444" s="183"/>
      <c r="G444" s="184" t="s">
        <v>705</v>
      </c>
      <c r="H444" s="151"/>
      <c r="I444" s="151"/>
      <c r="J444" s="151"/>
      <c r="K444" s="151"/>
      <c r="L444" s="156"/>
      <c r="M444" s="157"/>
      <c r="N444" s="157"/>
      <c r="O444" s="157"/>
      <c r="P444" s="157"/>
      <c r="Q444" s="157"/>
      <c r="R444" s="157"/>
      <c r="S444" s="157"/>
      <c r="T444" s="158"/>
      <c r="U444" s="168"/>
    </row>
    <row r="445" spans="1:21" ht="18" x14ac:dyDescent="0.2">
      <c r="A445" s="175" t="s">
        <v>670</v>
      </c>
      <c r="B445" s="170" t="s">
        <v>907</v>
      </c>
      <c r="C445" s="171">
        <v>1</v>
      </c>
      <c r="D445" s="183"/>
      <c r="E445" s="183"/>
      <c r="F445" s="183"/>
      <c r="G445" s="184" t="s">
        <v>704</v>
      </c>
      <c r="H445" s="151"/>
      <c r="I445" s="151"/>
      <c r="J445" s="151"/>
      <c r="K445" s="151"/>
      <c r="L445" s="156"/>
      <c r="M445" s="157"/>
      <c r="N445" s="157"/>
      <c r="O445" s="157"/>
      <c r="P445" s="157"/>
      <c r="Q445" s="157"/>
      <c r="R445" s="157"/>
      <c r="S445" s="157"/>
      <c r="T445" s="158"/>
      <c r="U445" s="168"/>
    </row>
    <row r="446" spans="1:21" ht="42" x14ac:dyDescent="0.2">
      <c r="A446" s="233" t="s">
        <v>188</v>
      </c>
      <c r="B446" s="170"/>
      <c r="C446" s="171"/>
      <c r="D446" s="181"/>
      <c r="E446" s="181"/>
      <c r="F446" s="181"/>
      <c r="G446" s="184"/>
      <c r="H446" s="151"/>
      <c r="I446" s="151"/>
      <c r="J446" s="151"/>
      <c r="K446" s="151"/>
      <c r="L446" s="156"/>
      <c r="M446" s="157"/>
      <c r="N446" s="157"/>
      <c r="O446" s="157"/>
      <c r="P446" s="157"/>
      <c r="Q446" s="157"/>
      <c r="R446" s="157"/>
      <c r="S446" s="157"/>
      <c r="T446" s="158"/>
      <c r="U446" s="168"/>
    </row>
    <row r="447" spans="1:21" ht="31.5" x14ac:dyDescent="0.2">
      <c r="A447" s="175" t="s">
        <v>558</v>
      </c>
      <c r="B447" s="232" t="s">
        <v>615</v>
      </c>
      <c r="C447" s="171">
        <v>1</v>
      </c>
      <c r="D447" s="187"/>
      <c r="E447" s="187"/>
      <c r="F447" s="187"/>
      <c r="G447" s="184" t="s">
        <v>705</v>
      </c>
      <c r="H447" s="151"/>
      <c r="I447" s="151"/>
      <c r="J447" s="151"/>
      <c r="K447" s="151"/>
      <c r="L447" s="156"/>
      <c r="M447" s="157"/>
      <c r="N447" s="157"/>
      <c r="O447" s="157"/>
      <c r="P447" s="157"/>
      <c r="Q447" s="157"/>
      <c r="R447" s="157"/>
      <c r="S447" s="157"/>
      <c r="T447" s="158"/>
      <c r="U447" s="168"/>
    </row>
    <row r="448" spans="1:21" ht="12.75" x14ac:dyDescent="0.2">
      <c r="A448" s="175" t="s">
        <v>294</v>
      </c>
      <c r="B448" s="170"/>
      <c r="C448" s="171"/>
      <c r="D448" s="187"/>
      <c r="E448" s="187"/>
      <c r="F448" s="187"/>
      <c r="G448" s="184"/>
      <c r="H448" s="151"/>
      <c r="I448" s="151"/>
      <c r="J448" s="151"/>
      <c r="K448" s="151"/>
      <c r="L448" s="156"/>
      <c r="M448" s="157"/>
      <c r="N448" s="157"/>
      <c r="O448" s="157"/>
      <c r="P448" s="157"/>
      <c r="Q448" s="157"/>
      <c r="R448" s="157"/>
      <c r="S448" s="157"/>
      <c r="T448" s="158"/>
      <c r="U448" s="168"/>
    </row>
    <row r="449" spans="1:21" ht="12.75" x14ac:dyDescent="0.2">
      <c r="A449" s="189" t="s">
        <v>139</v>
      </c>
      <c r="B449" s="232" t="s">
        <v>615</v>
      </c>
      <c r="C449" s="171">
        <v>1</v>
      </c>
      <c r="D449" s="187"/>
      <c r="E449" s="187"/>
      <c r="F449" s="187"/>
      <c r="G449" s="184" t="s">
        <v>705</v>
      </c>
      <c r="H449" s="151"/>
      <c r="I449" s="151"/>
      <c r="J449" s="151"/>
      <c r="K449" s="151"/>
      <c r="L449" s="156"/>
      <c r="M449" s="157"/>
      <c r="N449" s="157"/>
      <c r="O449" s="157"/>
      <c r="P449" s="157"/>
      <c r="Q449" s="157"/>
      <c r="R449" s="157"/>
      <c r="S449" s="157"/>
      <c r="T449" s="158"/>
      <c r="U449" s="168"/>
    </row>
    <row r="450" spans="1:21" ht="12.75" x14ac:dyDescent="0.2">
      <c r="A450" s="189" t="s">
        <v>140</v>
      </c>
      <c r="B450" s="232" t="s">
        <v>615</v>
      </c>
      <c r="C450" s="171">
        <v>1</v>
      </c>
      <c r="D450" s="187"/>
      <c r="E450" s="187"/>
      <c r="F450" s="187"/>
      <c r="G450" s="184" t="s">
        <v>705</v>
      </c>
      <c r="H450" s="151"/>
      <c r="I450" s="151"/>
      <c r="J450" s="151"/>
      <c r="K450" s="151"/>
      <c r="L450" s="156"/>
      <c r="M450" s="157"/>
      <c r="N450" s="157"/>
      <c r="O450" s="157"/>
      <c r="P450" s="157"/>
      <c r="Q450" s="157"/>
      <c r="R450" s="157"/>
      <c r="S450" s="157"/>
      <c r="T450" s="158"/>
      <c r="U450" s="168"/>
    </row>
    <row r="451" spans="1:21" ht="21" x14ac:dyDescent="0.2">
      <c r="A451" s="175" t="s">
        <v>190</v>
      </c>
      <c r="B451" s="232" t="s">
        <v>615</v>
      </c>
      <c r="C451" s="171">
        <v>1</v>
      </c>
      <c r="D451" s="187"/>
      <c r="E451" s="187"/>
      <c r="F451" s="187"/>
      <c r="G451" s="184" t="s">
        <v>705</v>
      </c>
      <c r="H451" s="151"/>
      <c r="I451" s="151"/>
      <c r="J451" s="151"/>
      <c r="K451" s="151"/>
      <c r="L451" s="156"/>
      <c r="M451" s="157"/>
      <c r="N451" s="157"/>
      <c r="O451" s="157"/>
      <c r="P451" s="157"/>
      <c r="Q451" s="157"/>
      <c r="R451" s="157"/>
      <c r="S451" s="157"/>
      <c r="T451" s="158"/>
      <c r="U451" s="168"/>
    </row>
    <row r="452" spans="1:21" ht="12.75" x14ac:dyDescent="0.2">
      <c r="A452" s="175" t="s">
        <v>294</v>
      </c>
      <c r="B452" s="170"/>
      <c r="C452" s="171"/>
      <c r="D452" s="187"/>
      <c r="E452" s="187"/>
      <c r="F452" s="187"/>
      <c r="G452" s="184"/>
      <c r="H452" s="151"/>
      <c r="I452" s="151"/>
      <c r="J452" s="151"/>
      <c r="K452" s="151"/>
      <c r="L452" s="156"/>
      <c r="M452" s="157"/>
      <c r="N452" s="157"/>
      <c r="O452" s="157"/>
      <c r="P452" s="157"/>
      <c r="Q452" s="157"/>
      <c r="R452" s="157"/>
      <c r="S452" s="157"/>
      <c r="T452" s="158"/>
      <c r="U452" s="168"/>
    </row>
    <row r="453" spans="1:21" ht="12.75" x14ac:dyDescent="0.2">
      <c r="A453" s="189" t="s">
        <v>141</v>
      </c>
      <c r="B453" s="232" t="s">
        <v>615</v>
      </c>
      <c r="C453" s="171">
        <v>1</v>
      </c>
      <c r="D453" s="187"/>
      <c r="E453" s="187"/>
      <c r="F453" s="187"/>
      <c r="G453" s="184" t="s">
        <v>705</v>
      </c>
      <c r="H453" s="151"/>
      <c r="I453" s="151"/>
      <c r="J453" s="151"/>
      <c r="K453" s="151"/>
      <c r="L453" s="156"/>
      <c r="M453" s="157"/>
      <c r="N453" s="157"/>
      <c r="O453" s="157"/>
      <c r="P453" s="157"/>
      <c r="Q453" s="157"/>
      <c r="R453" s="157"/>
      <c r="S453" s="157"/>
      <c r="T453" s="158"/>
      <c r="U453" s="168"/>
    </row>
    <row r="454" spans="1:21" ht="12.75" x14ac:dyDescent="0.2">
      <c r="A454" s="234" t="s">
        <v>142</v>
      </c>
      <c r="B454" s="232" t="s">
        <v>615</v>
      </c>
      <c r="C454" s="171">
        <v>1</v>
      </c>
      <c r="D454" s="187"/>
      <c r="E454" s="187"/>
      <c r="F454" s="187"/>
      <c r="G454" s="184" t="s">
        <v>705</v>
      </c>
      <c r="H454" s="151"/>
      <c r="I454" s="151"/>
      <c r="J454" s="151"/>
      <c r="K454" s="151"/>
      <c r="L454" s="156"/>
      <c r="M454" s="157"/>
      <c r="N454" s="157"/>
      <c r="O454" s="157"/>
      <c r="P454" s="157"/>
      <c r="Q454" s="157"/>
      <c r="R454" s="157"/>
      <c r="S454" s="157"/>
      <c r="T454" s="158"/>
      <c r="U454" s="168"/>
    </row>
    <row r="455" spans="1:21" ht="12.75" x14ac:dyDescent="0.2">
      <c r="A455" s="189" t="s">
        <v>143</v>
      </c>
      <c r="B455" s="232" t="s">
        <v>615</v>
      </c>
      <c r="C455" s="171">
        <v>1</v>
      </c>
      <c r="D455" s="187"/>
      <c r="E455" s="187"/>
      <c r="F455" s="187"/>
      <c r="G455" s="184" t="s">
        <v>705</v>
      </c>
      <c r="H455" s="151"/>
      <c r="I455" s="151"/>
      <c r="J455" s="151"/>
      <c r="K455" s="151"/>
      <c r="L455" s="156"/>
      <c r="M455" s="157"/>
      <c r="N455" s="157"/>
      <c r="O455" s="157"/>
      <c r="P455" s="157"/>
      <c r="Q455" s="157"/>
      <c r="R455" s="157"/>
      <c r="S455" s="157"/>
      <c r="T455" s="158"/>
      <c r="U455" s="168"/>
    </row>
    <row r="456" spans="1:21" ht="12.75" x14ac:dyDescent="0.2">
      <c r="A456" s="189" t="s">
        <v>144</v>
      </c>
      <c r="B456" s="232" t="s">
        <v>615</v>
      </c>
      <c r="C456" s="171">
        <v>1</v>
      </c>
      <c r="D456" s="187"/>
      <c r="E456" s="187"/>
      <c r="F456" s="187"/>
      <c r="G456" s="184" t="s">
        <v>705</v>
      </c>
      <c r="H456" s="151"/>
      <c r="I456" s="151"/>
      <c r="J456" s="151"/>
      <c r="K456" s="151"/>
      <c r="L456" s="156"/>
      <c r="M456" s="157"/>
      <c r="N456" s="157"/>
      <c r="O456" s="157"/>
      <c r="P456" s="157"/>
      <c r="Q456" s="157"/>
      <c r="R456" s="157"/>
      <c r="S456" s="157"/>
      <c r="T456" s="158"/>
      <c r="U456" s="168"/>
    </row>
    <row r="457" spans="1:21" ht="12.75" x14ac:dyDescent="0.2">
      <c r="A457" s="189" t="s">
        <v>446</v>
      </c>
      <c r="B457" s="170"/>
      <c r="C457" s="171"/>
      <c r="D457" s="187"/>
      <c r="E457" s="187"/>
      <c r="F457" s="187"/>
      <c r="G457" s="184"/>
      <c r="H457" s="151"/>
      <c r="I457" s="151"/>
      <c r="J457" s="151"/>
      <c r="K457" s="151"/>
      <c r="L457" s="156"/>
      <c r="M457" s="157"/>
      <c r="N457" s="157"/>
      <c r="O457" s="157"/>
      <c r="P457" s="157"/>
      <c r="Q457" s="157"/>
      <c r="R457" s="157"/>
      <c r="S457" s="157"/>
      <c r="T457" s="158"/>
      <c r="U457" s="168"/>
    </row>
    <row r="458" spans="1:21" ht="12.75" x14ac:dyDescent="0.2">
      <c r="A458" s="234" t="s">
        <v>145</v>
      </c>
      <c r="B458" s="232" t="s">
        <v>615</v>
      </c>
      <c r="C458" s="171">
        <v>1</v>
      </c>
      <c r="D458" s="187"/>
      <c r="E458" s="187"/>
      <c r="F458" s="187"/>
      <c r="G458" s="184" t="s">
        <v>705</v>
      </c>
      <c r="H458" s="151"/>
      <c r="I458" s="151"/>
      <c r="J458" s="151"/>
      <c r="K458" s="151"/>
      <c r="L458" s="156"/>
      <c r="M458" s="157"/>
      <c r="N458" s="157"/>
      <c r="O458" s="157"/>
      <c r="P458" s="157"/>
      <c r="Q458" s="157"/>
      <c r="R458" s="157"/>
      <c r="S458" s="157"/>
      <c r="T458" s="158"/>
      <c r="U458" s="168"/>
    </row>
    <row r="459" spans="1:21" ht="21" x14ac:dyDescent="0.2">
      <c r="A459" s="235" t="s">
        <v>146</v>
      </c>
      <c r="B459" s="232" t="s">
        <v>615</v>
      </c>
      <c r="C459" s="171">
        <v>1</v>
      </c>
      <c r="D459" s="187"/>
      <c r="E459" s="187"/>
      <c r="F459" s="187"/>
      <c r="G459" s="184" t="s">
        <v>705</v>
      </c>
      <c r="H459" s="151"/>
      <c r="I459" s="151"/>
      <c r="J459" s="151"/>
      <c r="K459" s="151"/>
      <c r="L459" s="156"/>
      <c r="M459" s="157"/>
      <c r="N459" s="157"/>
      <c r="O459" s="157"/>
      <c r="P459" s="157"/>
      <c r="Q459" s="157"/>
      <c r="R459" s="157"/>
      <c r="S459" s="157"/>
      <c r="T459" s="158"/>
      <c r="U459" s="168"/>
    </row>
    <row r="460" spans="1:21" ht="12.75" x14ac:dyDescent="0.2">
      <c r="A460" s="234" t="s">
        <v>147</v>
      </c>
      <c r="B460" s="232" t="s">
        <v>615</v>
      </c>
      <c r="C460" s="171">
        <v>1</v>
      </c>
      <c r="D460" s="187"/>
      <c r="E460" s="187"/>
      <c r="F460" s="187"/>
      <c r="G460" s="184" t="s">
        <v>705</v>
      </c>
      <c r="H460" s="151"/>
      <c r="I460" s="151"/>
      <c r="J460" s="151"/>
      <c r="K460" s="151"/>
      <c r="L460" s="156"/>
      <c r="M460" s="157"/>
      <c r="N460" s="157"/>
      <c r="O460" s="157"/>
      <c r="P460" s="157"/>
      <c r="Q460" s="157"/>
      <c r="R460" s="157"/>
      <c r="S460" s="157"/>
      <c r="T460" s="158"/>
      <c r="U460" s="168"/>
    </row>
    <row r="461" spans="1:21" ht="12.75" x14ac:dyDescent="0.2">
      <c r="A461" s="189" t="s">
        <v>148</v>
      </c>
      <c r="B461" s="232" t="s">
        <v>615</v>
      </c>
      <c r="C461" s="171">
        <v>1</v>
      </c>
      <c r="D461" s="187"/>
      <c r="E461" s="187"/>
      <c r="F461" s="187"/>
      <c r="G461" s="184" t="s">
        <v>705</v>
      </c>
      <c r="H461" s="151"/>
      <c r="I461" s="151"/>
      <c r="J461" s="151"/>
      <c r="K461" s="151"/>
      <c r="L461" s="156"/>
      <c r="M461" s="157"/>
      <c r="N461" s="157"/>
      <c r="O461" s="157"/>
      <c r="P461" s="157"/>
      <c r="Q461" s="157"/>
      <c r="R461" s="157"/>
      <c r="S461" s="157"/>
      <c r="T461" s="158"/>
      <c r="U461" s="168"/>
    </row>
    <row r="462" spans="1:21" ht="12.75" x14ac:dyDescent="0.2">
      <c r="A462" s="189" t="s">
        <v>24</v>
      </c>
      <c r="B462" s="232" t="s">
        <v>615</v>
      </c>
      <c r="C462" s="171">
        <v>1</v>
      </c>
      <c r="D462" s="188"/>
      <c r="E462" s="188"/>
      <c r="F462" s="188"/>
      <c r="G462" s="184" t="s">
        <v>705</v>
      </c>
      <c r="H462" s="151"/>
      <c r="I462" s="151"/>
      <c r="J462" s="151"/>
      <c r="K462" s="151"/>
      <c r="L462" s="156"/>
      <c r="M462" s="157"/>
      <c r="N462" s="157"/>
      <c r="O462" s="157"/>
      <c r="P462" s="157"/>
      <c r="Q462" s="157"/>
      <c r="R462" s="157"/>
      <c r="S462" s="157"/>
      <c r="T462" s="158"/>
      <c r="U462" s="168"/>
    </row>
    <row r="463" spans="1:21" ht="12.75" x14ac:dyDescent="0.2">
      <c r="A463" s="189" t="s">
        <v>931</v>
      </c>
      <c r="B463" s="232" t="s">
        <v>615</v>
      </c>
      <c r="C463" s="171">
        <v>1</v>
      </c>
      <c r="D463" s="188"/>
      <c r="E463" s="188"/>
      <c r="F463" s="188"/>
      <c r="G463" s="184" t="s">
        <v>705</v>
      </c>
      <c r="H463" s="151"/>
      <c r="I463" s="151"/>
      <c r="J463" s="151"/>
      <c r="K463" s="151"/>
      <c r="L463" s="156"/>
      <c r="M463" s="157"/>
      <c r="N463" s="157"/>
      <c r="O463" s="157"/>
      <c r="P463" s="157"/>
      <c r="Q463" s="157"/>
      <c r="R463" s="157"/>
      <c r="S463" s="157"/>
      <c r="T463" s="158"/>
      <c r="U463" s="168"/>
    </row>
    <row r="464" spans="1:21" ht="12.75" x14ac:dyDescent="0.2">
      <c r="A464" s="189"/>
      <c r="B464" s="232"/>
      <c r="C464" s="171"/>
      <c r="D464" s="188"/>
      <c r="E464" s="188"/>
      <c r="F464" s="188"/>
      <c r="G464" s="184"/>
      <c r="H464" s="151"/>
      <c r="I464" s="151"/>
      <c r="J464" s="151"/>
      <c r="K464" s="151"/>
      <c r="L464" s="156"/>
      <c r="M464" s="157"/>
      <c r="N464" s="157"/>
      <c r="O464" s="157"/>
      <c r="P464" s="157"/>
      <c r="Q464" s="157"/>
      <c r="R464" s="157"/>
      <c r="S464" s="157"/>
      <c r="T464" s="158"/>
      <c r="U464" s="168"/>
    </row>
    <row r="465" spans="1:21" ht="42" x14ac:dyDescent="0.2">
      <c r="A465" s="191" t="s">
        <v>191</v>
      </c>
      <c r="B465" s="232" t="s">
        <v>615</v>
      </c>
      <c r="C465" s="171">
        <v>1</v>
      </c>
      <c r="D465" s="183"/>
      <c r="E465" s="183"/>
      <c r="F465" s="183"/>
      <c r="G465" s="184" t="s">
        <v>705</v>
      </c>
      <c r="H465" s="151"/>
      <c r="I465" s="151"/>
      <c r="J465" s="151"/>
      <c r="K465" s="151"/>
      <c r="L465" s="156"/>
      <c r="M465" s="157"/>
      <c r="N465" s="157"/>
      <c r="O465" s="157"/>
      <c r="P465" s="157"/>
      <c r="Q465" s="157"/>
      <c r="R465" s="157"/>
      <c r="S465" s="157"/>
      <c r="T465" s="158"/>
      <c r="U465" s="168"/>
    </row>
    <row r="466" spans="1:21" ht="12.75" x14ac:dyDescent="0.2">
      <c r="A466" s="169" t="s">
        <v>149</v>
      </c>
      <c r="B466" s="232"/>
      <c r="C466" s="171"/>
      <c r="D466" s="183"/>
      <c r="E466" s="183"/>
      <c r="F466" s="183"/>
      <c r="G466" s="184"/>
      <c r="H466" s="151"/>
      <c r="I466" s="151"/>
      <c r="J466" s="151"/>
      <c r="K466" s="151"/>
      <c r="L466" s="156"/>
      <c r="M466" s="157"/>
      <c r="N466" s="157"/>
      <c r="O466" s="157"/>
      <c r="P466" s="157"/>
      <c r="Q466" s="157"/>
      <c r="R466" s="157"/>
      <c r="S466" s="157"/>
      <c r="T466" s="158"/>
      <c r="U466" s="168"/>
    </row>
    <row r="467" spans="1:21" ht="12.75" x14ac:dyDescent="0.2">
      <c r="A467" s="175" t="s">
        <v>150</v>
      </c>
      <c r="B467" s="232" t="s">
        <v>615</v>
      </c>
      <c r="C467" s="171">
        <v>1</v>
      </c>
      <c r="D467" s="183"/>
      <c r="E467" s="183"/>
      <c r="F467" s="183"/>
      <c r="G467" s="184" t="s">
        <v>705</v>
      </c>
      <c r="H467" s="151"/>
      <c r="I467" s="151"/>
      <c r="J467" s="151"/>
      <c r="K467" s="151"/>
      <c r="L467" s="156"/>
      <c r="M467" s="157"/>
      <c r="N467" s="157"/>
      <c r="O467" s="157"/>
      <c r="P467" s="157"/>
      <c r="Q467" s="157"/>
      <c r="R467" s="157"/>
      <c r="S467" s="157"/>
      <c r="T467" s="158"/>
      <c r="U467" s="168"/>
    </row>
    <row r="468" spans="1:21" ht="21" x14ac:dyDescent="0.2">
      <c r="A468" s="175" t="s">
        <v>151</v>
      </c>
      <c r="B468" s="232" t="s">
        <v>615</v>
      </c>
      <c r="C468" s="171">
        <v>1</v>
      </c>
      <c r="D468" s="183"/>
      <c r="E468" s="183"/>
      <c r="F468" s="183"/>
      <c r="G468" s="184" t="s">
        <v>705</v>
      </c>
      <c r="H468" s="151"/>
      <c r="I468" s="151"/>
      <c r="J468" s="151"/>
      <c r="K468" s="151"/>
      <c r="L468" s="156"/>
      <c r="M468" s="157"/>
      <c r="N468" s="157"/>
      <c r="O468" s="157"/>
      <c r="P468" s="157"/>
      <c r="Q468" s="157"/>
      <c r="R468" s="157"/>
      <c r="S468" s="157"/>
      <c r="T468" s="158"/>
      <c r="U468" s="168"/>
    </row>
    <row r="469" spans="1:21" ht="12.75" x14ac:dyDescent="0.2">
      <c r="A469" s="191" t="s">
        <v>895</v>
      </c>
      <c r="B469" s="170" t="s">
        <v>152</v>
      </c>
      <c r="C469" s="171">
        <v>1</v>
      </c>
      <c r="D469" s="181"/>
      <c r="E469" s="181"/>
      <c r="F469" s="181"/>
      <c r="G469" s="184" t="s">
        <v>705</v>
      </c>
      <c r="H469" s="151"/>
      <c r="I469" s="151"/>
      <c r="J469" s="151"/>
      <c r="K469" s="151"/>
      <c r="L469" s="156"/>
      <c r="M469" s="157"/>
      <c r="N469" s="157"/>
      <c r="O469" s="157"/>
      <c r="P469" s="157"/>
      <c r="Q469" s="157"/>
      <c r="R469" s="157"/>
      <c r="S469" s="157"/>
      <c r="T469" s="158"/>
      <c r="U469" s="168"/>
    </row>
    <row r="470" spans="1:21" ht="12.75" x14ac:dyDescent="0.2">
      <c r="A470" s="174"/>
      <c r="B470" s="170" t="s">
        <v>898</v>
      </c>
      <c r="C470" s="171">
        <v>1</v>
      </c>
      <c r="D470" s="187"/>
      <c r="E470" s="187"/>
      <c r="F470" s="187"/>
      <c r="G470" s="193" t="s">
        <v>704</v>
      </c>
      <c r="H470" s="151"/>
      <c r="I470" s="151"/>
      <c r="J470" s="151"/>
      <c r="K470" s="151"/>
      <c r="L470" s="156"/>
      <c r="M470" s="157"/>
      <c r="N470" s="157"/>
      <c r="O470" s="157"/>
      <c r="P470" s="157"/>
      <c r="Q470" s="157"/>
      <c r="R470" s="157"/>
      <c r="S470" s="157"/>
      <c r="T470" s="158"/>
      <c r="U470" s="168"/>
    </row>
    <row r="471" spans="1:21" ht="12.75" x14ac:dyDescent="0.2">
      <c r="A471" s="175" t="s">
        <v>192</v>
      </c>
      <c r="B471" s="170" t="s">
        <v>152</v>
      </c>
      <c r="C471" s="171">
        <v>1</v>
      </c>
      <c r="D471" s="187"/>
      <c r="E471" s="187"/>
      <c r="F471" s="187"/>
      <c r="G471" s="193" t="s">
        <v>705</v>
      </c>
      <c r="H471" s="151"/>
      <c r="I471" s="151"/>
      <c r="J471" s="151"/>
      <c r="K471" s="151"/>
      <c r="L471" s="156"/>
      <c r="M471" s="157"/>
      <c r="N471" s="157"/>
      <c r="O471" s="157"/>
      <c r="P471" s="157"/>
      <c r="Q471" s="157"/>
      <c r="R471" s="157"/>
      <c r="S471" s="157"/>
      <c r="T471" s="158"/>
      <c r="U471" s="168"/>
    </row>
    <row r="472" spans="1:21" ht="12.75" x14ac:dyDescent="0.2">
      <c r="A472" s="175"/>
      <c r="B472" s="170" t="s">
        <v>898</v>
      </c>
      <c r="C472" s="171">
        <v>1</v>
      </c>
      <c r="D472" s="187"/>
      <c r="E472" s="187"/>
      <c r="F472" s="187"/>
      <c r="G472" s="193" t="s">
        <v>704</v>
      </c>
      <c r="H472" s="151"/>
      <c r="I472" s="151"/>
      <c r="J472" s="151"/>
      <c r="K472" s="151"/>
      <c r="L472" s="156"/>
      <c r="M472" s="157"/>
      <c r="N472" s="157"/>
      <c r="O472" s="157"/>
      <c r="P472" s="157"/>
      <c r="Q472" s="157"/>
      <c r="R472" s="157"/>
      <c r="S472" s="157"/>
      <c r="T472" s="158"/>
      <c r="U472" s="168"/>
    </row>
    <row r="473" spans="1:21" ht="12.75" x14ac:dyDescent="0.2">
      <c r="A473" s="175" t="s">
        <v>193</v>
      </c>
      <c r="B473" s="170" t="s">
        <v>152</v>
      </c>
      <c r="C473" s="171">
        <v>1</v>
      </c>
      <c r="D473" s="187"/>
      <c r="E473" s="187"/>
      <c r="F473" s="187"/>
      <c r="G473" s="193" t="s">
        <v>705</v>
      </c>
      <c r="H473" s="151"/>
      <c r="I473" s="151"/>
      <c r="J473" s="151"/>
      <c r="K473" s="151"/>
      <c r="L473" s="156"/>
      <c r="M473" s="157"/>
      <c r="N473" s="157"/>
      <c r="O473" s="157"/>
      <c r="P473" s="157"/>
      <c r="Q473" s="157"/>
      <c r="R473" s="157"/>
      <c r="S473" s="157"/>
      <c r="T473" s="158"/>
      <c r="U473" s="168"/>
    </row>
    <row r="474" spans="1:21" ht="12.75" x14ac:dyDescent="0.2">
      <c r="A474" s="175"/>
      <c r="B474" s="170" t="s">
        <v>898</v>
      </c>
      <c r="C474" s="171">
        <v>1</v>
      </c>
      <c r="D474" s="187"/>
      <c r="E474" s="187"/>
      <c r="F474" s="187"/>
      <c r="G474" s="193" t="s">
        <v>704</v>
      </c>
      <c r="H474" s="151"/>
      <c r="I474" s="151"/>
      <c r="J474" s="151"/>
      <c r="K474" s="151"/>
      <c r="L474" s="156"/>
      <c r="M474" s="157"/>
      <c r="N474" s="157"/>
      <c r="O474" s="157"/>
      <c r="P474" s="157"/>
      <c r="Q474" s="157"/>
      <c r="R474" s="157"/>
      <c r="S474" s="157"/>
      <c r="T474" s="158"/>
      <c r="U474" s="168"/>
    </row>
    <row r="475" spans="1:21" ht="42" x14ac:dyDescent="0.2">
      <c r="A475" s="175" t="s">
        <v>194</v>
      </c>
      <c r="B475" s="170" t="s">
        <v>152</v>
      </c>
      <c r="C475" s="171">
        <v>1</v>
      </c>
      <c r="D475" s="188"/>
      <c r="E475" s="188"/>
      <c r="F475" s="188"/>
      <c r="G475" s="194" t="s">
        <v>705</v>
      </c>
      <c r="H475" s="151"/>
      <c r="I475" s="151"/>
      <c r="J475" s="151"/>
      <c r="K475" s="151"/>
      <c r="L475" s="156"/>
      <c r="M475" s="157"/>
      <c r="N475" s="157"/>
      <c r="O475" s="157"/>
      <c r="P475" s="157"/>
      <c r="Q475" s="157"/>
      <c r="R475" s="157"/>
      <c r="S475" s="157"/>
      <c r="T475" s="158"/>
      <c r="U475" s="168"/>
    </row>
    <row r="476" spans="1:21" ht="12.75" x14ac:dyDescent="0.2">
      <c r="A476" s="174"/>
      <c r="B476" s="170" t="s">
        <v>898</v>
      </c>
      <c r="C476" s="171">
        <v>1</v>
      </c>
      <c r="D476" s="183"/>
      <c r="E476" s="183"/>
      <c r="F476" s="183"/>
      <c r="G476" s="184" t="s">
        <v>704</v>
      </c>
      <c r="H476" s="151"/>
      <c r="I476" s="151"/>
      <c r="J476" s="151"/>
      <c r="K476" s="151"/>
      <c r="L476" s="156"/>
      <c r="M476" s="157"/>
      <c r="N476" s="157"/>
      <c r="O476" s="157"/>
      <c r="P476" s="157"/>
      <c r="Q476" s="157"/>
      <c r="R476" s="157"/>
      <c r="S476" s="157"/>
      <c r="T476" s="158"/>
      <c r="U476" s="168"/>
    </row>
    <row r="477" spans="1:21" ht="12.75" x14ac:dyDescent="0.2">
      <c r="A477" s="174"/>
      <c r="B477" s="170"/>
      <c r="C477" s="171"/>
      <c r="D477" s="181"/>
      <c r="E477" s="181"/>
      <c r="F477" s="181"/>
      <c r="G477" s="184"/>
      <c r="H477" s="151"/>
      <c r="I477" s="151"/>
      <c r="J477" s="151"/>
      <c r="K477" s="151"/>
      <c r="L477" s="156"/>
      <c r="M477" s="157"/>
      <c r="N477" s="157"/>
      <c r="O477" s="157"/>
      <c r="P477" s="157"/>
      <c r="Q477" s="157"/>
      <c r="R477" s="157"/>
      <c r="S477" s="157"/>
      <c r="T477" s="158"/>
      <c r="U477" s="168"/>
    </row>
    <row r="478" spans="1:21" ht="12.75" x14ac:dyDescent="0.2">
      <c r="A478" s="169" t="s">
        <v>559</v>
      </c>
      <c r="B478" s="170" t="s">
        <v>896</v>
      </c>
      <c r="C478" s="171">
        <v>1</v>
      </c>
      <c r="D478" s="181"/>
      <c r="E478" s="181"/>
      <c r="F478" s="181"/>
      <c r="G478" s="184" t="s">
        <v>705</v>
      </c>
      <c r="H478" s="151"/>
      <c r="I478" s="151"/>
      <c r="J478" s="151"/>
      <c r="K478" s="151"/>
      <c r="L478" s="156"/>
      <c r="M478" s="157"/>
      <c r="N478" s="157"/>
      <c r="O478" s="157"/>
      <c r="P478" s="157"/>
      <c r="Q478" s="157"/>
      <c r="R478" s="157"/>
      <c r="S478" s="157"/>
      <c r="T478" s="158"/>
      <c r="U478" s="168"/>
    </row>
    <row r="479" spans="1:21" ht="21" x14ac:dyDescent="0.2">
      <c r="A479" s="169" t="s">
        <v>560</v>
      </c>
      <c r="B479" s="170" t="s">
        <v>896</v>
      </c>
      <c r="C479" s="171">
        <v>1</v>
      </c>
      <c r="D479" s="187"/>
      <c r="E479" s="187"/>
      <c r="F479" s="187"/>
      <c r="G479" s="184" t="s">
        <v>705</v>
      </c>
      <c r="H479" s="151"/>
      <c r="I479" s="151"/>
      <c r="J479" s="151"/>
      <c r="K479" s="151"/>
      <c r="L479" s="156"/>
      <c r="M479" s="157"/>
      <c r="N479" s="157"/>
      <c r="O479" s="157"/>
      <c r="P479" s="157"/>
      <c r="Q479" s="157"/>
      <c r="R479" s="157"/>
      <c r="S479" s="157"/>
      <c r="T479" s="158"/>
      <c r="U479" s="168"/>
    </row>
    <row r="480" spans="1:21" ht="21" x14ac:dyDescent="0.2">
      <c r="A480" s="169" t="s">
        <v>153</v>
      </c>
      <c r="B480" s="170" t="s">
        <v>896</v>
      </c>
      <c r="C480" s="171">
        <v>1</v>
      </c>
      <c r="D480" s="188"/>
      <c r="E480" s="188"/>
      <c r="F480" s="188"/>
      <c r="G480" s="184" t="s">
        <v>705</v>
      </c>
      <c r="H480" s="151"/>
      <c r="I480" s="151"/>
      <c r="J480" s="151"/>
      <c r="K480" s="151"/>
      <c r="L480" s="156"/>
      <c r="M480" s="157"/>
      <c r="N480" s="157"/>
      <c r="O480" s="157"/>
      <c r="P480" s="157"/>
      <c r="Q480" s="157"/>
      <c r="R480" s="157"/>
      <c r="S480" s="157"/>
      <c r="T480" s="158"/>
      <c r="U480" s="168"/>
    </row>
    <row r="481" spans="1:21" ht="12.75" x14ac:dyDescent="0.2">
      <c r="A481" s="214"/>
      <c r="B481" s="214"/>
      <c r="C481" s="171"/>
      <c r="D481" s="236"/>
      <c r="E481" s="236"/>
      <c r="F481" s="236"/>
      <c r="G481" s="237"/>
      <c r="H481" s="151"/>
      <c r="I481" s="151"/>
      <c r="J481" s="151"/>
      <c r="K481" s="151"/>
      <c r="L481" s="156"/>
      <c r="M481" s="157"/>
      <c r="N481" s="157"/>
      <c r="O481" s="157"/>
      <c r="P481" s="157"/>
      <c r="Q481" s="157"/>
      <c r="R481" s="157"/>
      <c r="S481" s="157"/>
      <c r="T481" s="158"/>
      <c r="U481" s="168"/>
    </row>
    <row r="482" spans="1:21" ht="14.25" x14ac:dyDescent="0.2">
      <c r="A482" s="217" t="s">
        <v>154</v>
      </c>
      <c r="B482" s="186"/>
      <c r="C482" s="171"/>
      <c r="D482" s="183"/>
      <c r="E482" s="183"/>
      <c r="F482" s="183"/>
      <c r="G482" s="184"/>
      <c r="H482" s="151"/>
      <c r="I482" s="151"/>
      <c r="J482" s="151"/>
      <c r="K482" s="151"/>
      <c r="L482" s="156"/>
      <c r="M482" s="157"/>
      <c r="N482" s="157"/>
      <c r="O482" s="157"/>
      <c r="P482" s="157"/>
      <c r="Q482" s="157"/>
      <c r="R482" s="157"/>
      <c r="S482" s="157"/>
      <c r="T482" s="158"/>
      <c r="U482" s="168"/>
    </row>
    <row r="483" spans="1:21" ht="21" x14ac:dyDescent="0.2">
      <c r="A483" s="191" t="s">
        <v>195</v>
      </c>
      <c r="B483" s="170"/>
      <c r="C483" s="171"/>
      <c r="D483" s="183"/>
      <c r="E483" s="183"/>
      <c r="F483" s="183"/>
      <c r="G483" s="184"/>
      <c r="H483" s="151"/>
      <c r="I483" s="151"/>
      <c r="J483" s="151"/>
      <c r="K483" s="151"/>
      <c r="L483" s="156"/>
      <c r="M483" s="157"/>
      <c r="N483" s="157"/>
      <c r="O483" s="157"/>
      <c r="P483" s="157"/>
      <c r="Q483" s="157"/>
      <c r="R483" s="157"/>
      <c r="S483" s="157"/>
      <c r="T483" s="158"/>
      <c r="U483" s="168"/>
    </row>
    <row r="484" spans="1:21" ht="12.75" x14ac:dyDescent="0.2">
      <c r="A484" s="169" t="s">
        <v>486</v>
      </c>
      <c r="B484" s="170" t="s">
        <v>896</v>
      </c>
      <c r="C484" s="171">
        <v>1</v>
      </c>
      <c r="D484" s="238"/>
      <c r="E484" s="181"/>
      <c r="F484" s="181"/>
      <c r="G484" s="192" t="s">
        <v>705</v>
      </c>
      <c r="H484" s="151"/>
      <c r="I484" s="151"/>
      <c r="J484" s="151"/>
      <c r="K484" s="151"/>
      <c r="L484" s="156"/>
      <c r="M484" s="157"/>
      <c r="N484" s="157"/>
      <c r="O484" s="157"/>
      <c r="P484" s="157"/>
      <c r="Q484" s="157"/>
      <c r="R484" s="157"/>
      <c r="S484" s="157"/>
      <c r="T484" s="158"/>
      <c r="U484" s="168"/>
    </row>
    <row r="485" spans="1:21" ht="12.75" x14ac:dyDescent="0.2">
      <c r="A485" s="239" t="s">
        <v>561</v>
      </c>
      <c r="B485" s="170" t="s">
        <v>896</v>
      </c>
      <c r="C485" s="171">
        <v>1</v>
      </c>
      <c r="D485" s="240"/>
      <c r="E485" s="187"/>
      <c r="F485" s="187"/>
      <c r="G485" s="193" t="s">
        <v>705</v>
      </c>
      <c r="H485" s="151"/>
      <c r="I485" s="151"/>
      <c r="J485" s="151"/>
      <c r="K485" s="151"/>
      <c r="L485" s="156"/>
      <c r="M485" s="157"/>
      <c r="N485" s="157"/>
      <c r="O485" s="157"/>
      <c r="P485" s="157"/>
      <c r="Q485" s="157"/>
      <c r="R485" s="157"/>
      <c r="S485" s="157"/>
      <c r="T485" s="158"/>
      <c r="U485" s="168"/>
    </row>
    <row r="486" spans="1:21" ht="21" x14ac:dyDescent="0.2">
      <c r="A486" s="169" t="s">
        <v>225</v>
      </c>
      <c r="B486" s="170" t="s">
        <v>896</v>
      </c>
      <c r="C486" s="171">
        <v>1</v>
      </c>
      <c r="D486" s="183"/>
      <c r="E486" s="183"/>
      <c r="F486" s="183"/>
      <c r="G486" s="192" t="s">
        <v>705</v>
      </c>
      <c r="H486" s="151"/>
      <c r="I486" s="151"/>
      <c r="J486" s="151"/>
      <c r="K486" s="151"/>
      <c r="L486" s="156"/>
      <c r="M486" s="157"/>
      <c r="N486" s="157"/>
      <c r="O486" s="157"/>
      <c r="P486" s="157"/>
      <c r="Q486" s="157"/>
      <c r="R486" s="157"/>
      <c r="S486" s="157"/>
      <c r="T486" s="158"/>
      <c r="U486" s="168"/>
    </row>
    <row r="487" spans="1:21" ht="12.75" x14ac:dyDescent="0.2">
      <c r="A487" s="169" t="s">
        <v>487</v>
      </c>
      <c r="B487" s="170" t="s">
        <v>896</v>
      </c>
      <c r="C487" s="171">
        <v>1</v>
      </c>
      <c r="D487" s="183"/>
      <c r="E487" s="183"/>
      <c r="F487" s="183"/>
      <c r="G487" s="193" t="s">
        <v>705</v>
      </c>
      <c r="H487" s="151"/>
      <c r="I487" s="151"/>
      <c r="J487" s="151"/>
      <c r="K487" s="151"/>
      <c r="L487" s="156"/>
      <c r="M487" s="157"/>
      <c r="N487" s="157"/>
      <c r="O487" s="157"/>
      <c r="P487" s="157"/>
      <c r="Q487" s="157"/>
      <c r="R487" s="157"/>
      <c r="S487" s="157"/>
      <c r="T487" s="158"/>
      <c r="U487" s="168"/>
    </row>
    <row r="488" spans="1:21" ht="12.75" x14ac:dyDescent="0.2">
      <c r="A488" s="175" t="s">
        <v>488</v>
      </c>
      <c r="B488" s="170" t="s">
        <v>896</v>
      </c>
      <c r="C488" s="171">
        <v>1</v>
      </c>
      <c r="D488" s="183"/>
      <c r="E488" s="183"/>
      <c r="F488" s="183"/>
      <c r="G488" s="192" t="s">
        <v>705</v>
      </c>
      <c r="H488" s="151"/>
      <c r="I488" s="151"/>
      <c r="J488" s="151"/>
      <c r="K488" s="151"/>
      <c r="L488" s="156"/>
      <c r="M488" s="157"/>
      <c r="N488" s="157"/>
      <c r="O488" s="157"/>
      <c r="P488" s="157"/>
      <c r="Q488" s="157"/>
      <c r="R488" s="157"/>
      <c r="S488" s="157"/>
      <c r="T488" s="158"/>
      <c r="U488" s="168"/>
    </row>
    <row r="489" spans="1:21" ht="12.75" x14ac:dyDescent="0.2">
      <c r="A489" s="175" t="s">
        <v>155</v>
      </c>
      <c r="B489" s="170" t="s">
        <v>896</v>
      </c>
      <c r="C489" s="171">
        <v>1</v>
      </c>
      <c r="D489" s="183"/>
      <c r="E489" s="183"/>
      <c r="F489" s="183"/>
      <c r="G489" s="192" t="s">
        <v>705</v>
      </c>
      <c r="H489" s="151"/>
      <c r="I489" s="151"/>
      <c r="J489" s="151"/>
      <c r="K489" s="151"/>
      <c r="L489" s="156"/>
      <c r="M489" s="157"/>
      <c r="N489" s="157"/>
      <c r="O489" s="157"/>
      <c r="P489" s="157"/>
      <c r="Q489" s="157"/>
      <c r="R489" s="157"/>
      <c r="S489" s="157"/>
      <c r="T489" s="158"/>
      <c r="U489" s="168"/>
    </row>
    <row r="490" spans="1:21" ht="12.75" x14ac:dyDescent="0.2">
      <c r="A490" s="169" t="s">
        <v>489</v>
      </c>
      <c r="B490" s="170" t="s">
        <v>896</v>
      </c>
      <c r="C490" s="171">
        <v>1</v>
      </c>
      <c r="D490" s="183"/>
      <c r="E490" s="183"/>
      <c r="F490" s="183"/>
      <c r="G490" s="192" t="s">
        <v>705</v>
      </c>
      <c r="H490" s="151"/>
      <c r="I490" s="151"/>
      <c r="J490" s="151"/>
      <c r="K490" s="151"/>
      <c r="L490" s="156"/>
      <c r="M490" s="157"/>
      <c r="N490" s="157"/>
      <c r="O490" s="157"/>
      <c r="P490" s="157"/>
      <c r="Q490" s="157"/>
      <c r="R490" s="157"/>
      <c r="S490" s="157"/>
      <c r="T490" s="158"/>
      <c r="U490" s="168"/>
    </row>
    <row r="491" spans="1:21" ht="21" x14ac:dyDescent="0.2">
      <c r="A491" s="169" t="s">
        <v>490</v>
      </c>
      <c r="B491" s="170" t="s">
        <v>896</v>
      </c>
      <c r="C491" s="171">
        <v>1</v>
      </c>
      <c r="D491" s="183"/>
      <c r="E491" s="183"/>
      <c r="F491" s="183"/>
      <c r="G491" s="193" t="s">
        <v>705</v>
      </c>
      <c r="H491" s="151"/>
      <c r="I491" s="151"/>
      <c r="J491" s="151"/>
      <c r="K491" s="151"/>
      <c r="L491" s="156"/>
      <c r="M491" s="157"/>
      <c r="N491" s="157"/>
      <c r="O491" s="157"/>
      <c r="P491" s="157"/>
      <c r="Q491" s="157"/>
      <c r="R491" s="157"/>
      <c r="S491" s="157"/>
      <c r="T491" s="158"/>
      <c r="U491" s="168"/>
    </row>
    <row r="492" spans="1:21" ht="12.75" x14ac:dyDescent="0.2">
      <c r="A492" s="175" t="s">
        <v>294</v>
      </c>
      <c r="B492" s="170"/>
      <c r="C492" s="171"/>
      <c r="D492" s="183"/>
      <c r="E492" s="183"/>
      <c r="F492" s="183"/>
      <c r="G492" s="192"/>
      <c r="H492" s="151"/>
      <c r="I492" s="151"/>
      <c r="J492" s="151"/>
      <c r="K492" s="151"/>
      <c r="L492" s="156"/>
      <c r="M492" s="157"/>
      <c r="N492" s="157"/>
      <c r="O492" s="157"/>
      <c r="P492" s="157"/>
      <c r="Q492" s="157"/>
      <c r="R492" s="157"/>
      <c r="S492" s="157"/>
      <c r="T492" s="158"/>
      <c r="U492" s="168"/>
    </row>
    <row r="493" spans="1:21" ht="12.75" x14ac:dyDescent="0.2">
      <c r="A493" s="175" t="s">
        <v>491</v>
      </c>
      <c r="B493" s="170" t="s">
        <v>896</v>
      </c>
      <c r="C493" s="171">
        <v>1</v>
      </c>
      <c r="D493" s="183"/>
      <c r="E493" s="183"/>
      <c r="F493" s="183"/>
      <c r="G493" s="193" t="s">
        <v>705</v>
      </c>
      <c r="H493" s="151"/>
      <c r="I493" s="151"/>
      <c r="J493" s="151"/>
      <c r="K493" s="151"/>
      <c r="L493" s="156"/>
      <c r="M493" s="157"/>
      <c r="N493" s="157"/>
      <c r="O493" s="157"/>
      <c r="P493" s="157"/>
      <c r="Q493" s="157"/>
      <c r="R493" s="157"/>
      <c r="S493" s="157"/>
      <c r="T493" s="158"/>
      <c r="U493" s="168"/>
    </row>
    <row r="494" spans="1:21" ht="12.75" x14ac:dyDescent="0.2">
      <c r="A494" s="175" t="s">
        <v>492</v>
      </c>
      <c r="B494" s="170" t="s">
        <v>896</v>
      </c>
      <c r="C494" s="171">
        <v>1</v>
      </c>
      <c r="D494" s="183"/>
      <c r="E494" s="183"/>
      <c r="F494" s="183"/>
      <c r="G494" s="192" t="s">
        <v>705</v>
      </c>
      <c r="H494" s="151"/>
      <c r="I494" s="151"/>
      <c r="J494" s="151"/>
      <c r="K494" s="151"/>
      <c r="L494" s="156"/>
      <c r="M494" s="157"/>
      <c r="N494" s="157"/>
      <c r="O494" s="157"/>
      <c r="P494" s="157"/>
      <c r="Q494" s="157"/>
      <c r="R494" s="157"/>
      <c r="S494" s="157"/>
      <c r="T494" s="158"/>
      <c r="U494" s="168"/>
    </row>
    <row r="495" spans="1:21" ht="12.75" x14ac:dyDescent="0.2">
      <c r="A495" s="169" t="s">
        <v>493</v>
      </c>
      <c r="B495" s="170" t="s">
        <v>896</v>
      </c>
      <c r="C495" s="171">
        <v>1</v>
      </c>
      <c r="D495" s="183"/>
      <c r="E495" s="183"/>
      <c r="F495" s="183"/>
      <c r="G495" s="193" t="s">
        <v>705</v>
      </c>
      <c r="H495" s="151"/>
      <c r="I495" s="151"/>
      <c r="J495" s="151"/>
      <c r="K495" s="151"/>
      <c r="L495" s="156"/>
      <c r="M495" s="157"/>
      <c r="N495" s="157"/>
      <c r="O495" s="157"/>
      <c r="P495" s="157"/>
      <c r="Q495" s="157"/>
      <c r="R495" s="157"/>
      <c r="S495" s="157"/>
      <c r="T495" s="158"/>
      <c r="U495" s="168"/>
    </row>
    <row r="496" spans="1:21" ht="12.75" x14ac:dyDescent="0.2">
      <c r="A496" s="169" t="s">
        <v>494</v>
      </c>
      <c r="B496" s="170" t="s">
        <v>896</v>
      </c>
      <c r="C496" s="171">
        <v>1</v>
      </c>
      <c r="D496" s="183"/>
      <c r="E496" s="183"/>
      <c r="F496" s="183"/>
      <c r="G496" s="192" t="s">
        <v>705</v>
      </c>
      <c r="H496" s="151"/>
      <c r="I496" s="151"/>
      <c r="J496" s="151"/>
      <c r="K496" s="151"/>
      <c r="L496" s="156"/>
      <c r="M496" s="157"/>
      <c r="N496" s="157"/>
      <c r="O496" s="157"/>
      <c r="P496" s="157"/>
      <c r="Q496" s="157"/>
      <c r="R496" s="157"/>
      <c r="S496" s="157"/>
      <c r="T496" s="158"/>
      <c r="U496" s="168"/>
    </row>
    <row r="497" spans="1:21" ht="21" x14ac:dyDescent="0.2">
      <c r="A497" s="169" t="s">
        <v>495</v>
      </c>
      <c r="B497" s="170" t="s">
        <v>896</v>
      </c>
      <c r="C497" s="171">
        <v>1</v>
      </c>
      <c r="D497" s="183"/>
      <c r="E497" s="183"/>
      <c r="F497" s="183"/>
      <c r="G497" s="193" t="s">
        <v>705</v>
      </c>
      <c r="H497" s="151"/>
      <c r="I497" s="151"/>
      <c r="J497" s="151"/>
      <c r="K497" s="151"/>
      <c r="L497" s="156"/>
      <c r="M497" s="157"/>
      <c r="N497" s="157"/>
      <c r="O497" s="157"/>
      <c r="P497" s="157"/>
      <c r="Q497" s="157"/>
      <c r="R497" s="157"/>
      <c r="S497" s="157"/>
      <c r="T497" s="158"/>
      <c r="U497" s="168"/>
    </row>
    <row r="498" spans="1:21" ht="12.75" x14ac:dyDescent="0.2">
      <c r="A498" s="169" t="s">
        <v>294</v>
      </c>
      <c r="B498" s="170"/>
      <c r="C498" s="171"/>
      <c r="D498" s="183"/>
      <c r="E498" s="183"/>
      <c r="F498" s="183"/>
      <c r="G498" s="192"/>
      <c r="H498" s="151"/>
      <c r="I498" s="151"/>
      <c r="J498" s="151"/>
      <c r="K498" s="151"/>
      <c r="L498" s="156"/>
      <c r="M498" s="157"/>
      <c r="N498" s="157"/>
      <c r="O498" s="157"/>
      <c r="P498" s="157"/>
      <c r="Q498" s="157"/>
      <c r="R498" s="157"/>
      <c r="S498" s="157"/>
      <c r="T498" s="158"/>
      <c r="U498" s="168"/>
    </row>
    <row r="499" spans="1:21" ht="12.75" x14ac:dyDescent="0.2">
      <c r="A499" s="175" t="s">
        <v>156</v>
      </c>
      <c r="B499" s="170" t="s">
        <v>896</v>
      </c>
      <c r="C499" s="171">
        <v>1</v>
      </c>
      <c r="D499" s="183"/>
      <c r="E499" s="183"/>
      <c r="F499" s="183"/>
      <c r="G499" s="193" t="s">
        <v>705</v>
      </c>
      <c r="H499" s="151"/>
      <c r="I499" s="151"/>
      <c r="J499" s="151"/>
      <c r="K499" s="151"/>
      <c r="L499" s="156"/>
      <c r="M499" s="157"/>
      <c r="N499" s="157"/>
      <c r="O499" s="157"/>
      <c r="P499" s="157"/>
      <c r="Q499" s="157"/>
      <c r="R499" s="157"/>
      <c r="S499" s="157"/>
      <c r="T499" s="158"/>
      <c r="U499" s="168"/>
    </row>
    <row r="500" spans="1:21" ht="12.75" x14ac:dyDescent="0.2">
      <c r="A500" s="169" t="s">
        <v>575</v>
      </c>
      <c r="B500" s="170" t="s">
        <v>896</v>
      </c>
      <c r="C500" s="171">
        <v>1</v>
      </c>
      <c r="D500" s="183"/>
      <c r="E500" s="183"/>
      <c r="F500" s="183"/>
      <c r="G500" s="192" t="s">
        <v>705</v>
      </c>
      <c r="H500" s="151"/>
      <c r="I500" s="151"/>
      <c r="J500" s="151"/>
      <c r="K500" s="151"/>
      <c r="L500" s="156"/>
      <c r="M500" s="157"/>
      <c r="N500" s="157"/>
      <c r="O500" s="157"/>
      <c r="P500" s="157"/>
      <c r="Q500" s="157"/>
      <c r="R500" s="157"/>
      <c r="S500" s="157"/>
      <c r="T500" s="158"/>
      <c r="U500" s="168"/>
    </row>
    <row r="501" spans="1:21" ht="12.75" x14ac:dyDescent="0.2">
      <c r="A501" s="169" t="s">
        <v>293</v>
      </c>
      <c r="B501" s="170" t="s">
        <v>896</v>
      </c>
      <c r="C501" s="171">
        <v>1</v>
      </c>
      <c r="D501" s="183"/>
      <c r="E501" s="183"/>
      <c r="F501" s="183"/>
      <c r="G501" s="192" t="s">
        <v>705</v>
      </c>
      <c r="H501" s="151"/>
      <c r="I501" s="151"/>
      <c r="J501" s="151"/>
      <c r="K501" s="151"/>
      <c r="L501" s="156"/>
      <c r="M501" s="157"/>
      <c r="N501" s="157"/>
      <c r="O501" s="157"/>
      <c r="P501" s="157"/>
      <c r="Q501" s="157"/>
      <c r="R501" s="157"/>
      <c r="S501" s="157"/>
      <c r="T501" s="158"/>
      <c r="U501" s="168"/>
    </row>
    <row r="502" spans="1:21" ht="12.75" x14ac:dyDescent="0.2">
      <c r="A502" s="169" t="s">
        <v>317</v>
      </c>
      <c r="B502" s="170" t="s">
        <v>896</v>
      </c>
      <c r="C502" s="171">
        <v>1</v>
      </c>
      <c r="D502" s="183"/>
      <c r="E502" s="183"/>
      <c r="F502" s="183"/>
      <c r="G502" s="192" t="s">
        <v>705</v>
      </c>
      <c r="H502" s="151"/>
      <c r="I502" s="151"/>
      <c r="J502" s="151"/>
      <c r="K502" s="151"/>
      <c r="L502" s="156"/>
      <c r="M502" s="157"/>
      <c r="N502" s="157"/>
      <c r="O502" s="157"/>
      <c r="P502" s="157"/>
      <c r="Q502" s="157"/>
      <c r="R502" s="157"/>
      <c r="S502" s="157"/>
      <c r="T502" s="158"/>
      <c r="U502" s="168"/>
    </row>
    <row r="503" spans="1:21" ht="12.75" x14ac:dyDescent="0.2">
      <c r="A503" s="241" t="s">
        <v>496</v>
      </c>
      <c r="B503" s="170" t="s">
        <v>896</v>
      </c>
      <c r="C503" s="171">
        <v>1</v>
      </c>
      <c r="D503" s="183"/>
      <c r="E503" s="183"/>
      <c r="F503" s="183"/>
      <c r="G503" s="193" t="s">
        <v>705</v>
      </c>
      <c r="H503" s="151"/>
      <c r="I503" s="151"/>
      <c r="J503" s="151"/>
      <c r="K503" s="151"/>
      <c r="L503" s="156"/>
      <c r="M503" s="157"/>
      <c r="N503" s="157"/>
      <c r="O503" s="157"/>
      <c r="P503" s="157"/>
      <c r="Q503" s="157"/>
      <c r="R503" s="157"/>
      <c r="S503" s="157"/>
      <c r="T503" s="158"/>
      <c r="U503" s="168"/>
    </row>
    <row r="504" spans="1:21" ht="21" x14ac:dyDescent="0.2">
      <c r="A504" s="169" t="s">
        <v>497</v>
      </c>
      <c r="B504" s="170" t="s">
        <v>896</v>
      </c>
      <c r="C504" s="171">
        <v>1</v>
      </c>
      <c r="D504" s="183"/>
      <c r="E504" s="183"/>
      <c r="F504" s="183"/>
      <c r="G504" s="192" t="s">
        <v>705</v>
      </c>
      <c r="H504" s="151"/>
      <c r="I504" s="151"/>
      <c r="J504" s="151"/>
      <c r="K504" s="151"/>
      <c r="L504" s="156"/>
      <c r="M504" s="157"/>
      <c r="N504" s="157"/>
      <c r="O504" s="157"/>
      <c r="P504" s="157"/>
      <c r="Q504" s="157"/>
      <c r="R504" s="157"/>
      <c r="S504" s="157"/>
      <c r="T504" s="158"/>
      <c r="U504" s="168"/>
    </row>
    <row r="505" spans="1:21" ht="21" x14ac:dyDescent="0.2">
      <c r="A505" s="169" t="s">
        <v>318</v>
      </c>
      <c r="B505" s="170" t="s">
        <v>896</v>
      </c>
      <c r="C505" s="171">
        <v>1</v>
      </c>
      <c r="D505" s="183"/>
      <c r="E505" s="183"/>
      <c r="F505" s="183"/>
      <c r="G505" s="193" t="s">
        <v>705</v>
      </c>
      <c r="H505" s="151"/>
      <c r="I505" s="151"/>
      <c r="J505" s="151"/>
      <c r="K505" s="151"/>
      <c r="L505" s="156"/>
      <c r="M505" s="157"/>
      <c r="N505" s="157"/>
      <c r="O505" s="157"/>
      <c r="P505" s="157"/>
      <c r="Q505" s="157"/>
      <c r="R505" s="157"/>
      <c r="S505" s="157"/>
      <c r="T505" s="158"/>
      <c r="U505" s="168"/>
    </row>
    <row r="506" spans="1:21" ht="12.75" x14ac:dyDescent="0.2">
      <c r="A506" s="175" t="s">
        <v>419</v>
      </c>
      <c r="B506" s="170" t="s">
        <v>896</v>
      </c>
      <c r="C506" s="171">
        <v>1</v>
      </c>
      <c r="D506" s="183"/>
      <c r="E506" s="183"/>
      <c r="F506" s="183"/>
      <c r="G506" s="192" t="s">
        <v>705</v>
      </c>
      <c r="H506" s="151"/>
      <c r="I506" s="151"/>
      <c r="J506" s="151"/>
      <c r="K506" s="151"/>
      <c r="L506" s="156"/>
      <c r="M506" s="157"/>
      <c r="N506" s="157"/>
      <c r="O506" s="157"/>
      <c r="P506" s="157"/>
      <c r="Q506" s="157"/>
      <c r="R506" s="157"/>
      <c r="S506" s="157"/>
      <c r="T506" s="158"/>
      <c r="U506" s="168"/>
    </row>
    <row r="507" spans="1:21" ht="31.5" x14ac:dyDescent="0.2">
      <c r="A507" s="175" t="s">
        <v>157</v>
      </c>
      <c r="B507" s="170" t="s">
        <v>896</v>
      </c>
      <c r="C507" s="171">
        <v>1</v>
      </c>
      <c r="D507" s="183"/>
      <c r="E507" s="183"/>
      <c r="F507" s="183"/>
      <c r="G507" s="192" t="s">
        <v>705</v>
      </c>
      <c r="H507" s="151"/>
      <c r="I507" s="151"/>
      <c r="J507" s="151"/>
      <c r="K507" s="151"/>
      <c r="L507" s="156"/>
      <c r="M507" s="157"/>
      <c r="N507" s="157"/>
      <c r="O507" s="157"/>
      <c r="P507" s="157"/>
      <c r="Q507" s="157"/>
      <c r="R507" s="157"/>
      <c r="S507" s="157"/>
      <c r="T507" s="158"/>
      <c r="U507" s="168"/>
    </row>
    <row r="508" spans="1:21" ht="21" x14ac:dyDescent="0.2">
      <c r="A508" s="169" t="s">
        <v>319</v>
      </c>
      <c r="B508" s="170" t="s">
        <v>896</v>
      </c>
      <c r="C508" s="171">
        <v>1</v>
      </c>
      <c r="D508" s="183"/>
      <c r="E508" s="183"/>
      <c r="F508" s="183"/>
      <c r="G508" s="192" t="s">
        <v>705</v>
      </c>
      <c r="H508" s="151"/>
      <c r="I508" s="151"/>
      <c r="J508" s="151"/>
      <c r="K508" s="151"/>
      <c r="L508" s="156"/>
      <c r="M508" s="157"/>
      <c r="N508" s="157"/>
      <c r="O508" s="157"/>
      <c r="P508" s="157"/>
      <c r="Q508" s="157"/>
      <c r="R508" s="157"/>
      <c r="S508" s="157"/>
      <c r="T508" s="158"/>
      <c r="U508" s="168"/>
    </row>
    <row r="509" spans="1:21" ht="12.75" x14ac:dyDescent="0.2">
      <c r="A509" s="175" t="s">
        <v>145</v>
      </c>
      <c r="B509" s="170" t="s">
        <v>896</v>
      </c>
      <c r="C509" s="171">
        <v>1</v>
      </c>
      <c r="D509" s="183"/>
      <c r="E509" s="183"/>
      <c r="F509" s="183"/>
      <c r="G509" s="193" t="s">
        <v>705</v>
      </c>
      <c r="H509" s="151"/>
      <c r="I509" s="151"/>
      <c r="J509" s="151"/>
      <c r="K509" s="151"/>
      <c r="L509" s="156"/>
      <c r="M509" s="157"/>
      <c r="N509" s="157"/>
      <c r="O509" s="157"/>
      <c r="P509" s="157"/>
      <c r="Q509" s="157"/>
      <c r="R509" s="157"/>
      <c r="S509" s="157"/>
      <c r="T509" s="158"/>
      <c r="U509" s="168"/>
    </row>
    <row r="510" spans="1:21" ht="12.75" x14ac:dyDescent="0.2">
      <c r="A510" s="175" t="s">
        <v>158</v>
      </c>
      <c r="B510" s="170" t="s">
        <v>896</v>
      </c>
      <c r="C510" s="171">
        <v>1</v>
      </c>
      <c r="D510" s="183"/>
      <c r="E510" s="183"/>
      <c r="F510" s="183"/>
      <c r="G510" s="193" t="s">
        <v>705</v>
      </c>
      <c r="H510" s="151"/>
      <c r="I510" s="151"/>
      <c r="J510" s="151"/>
      <c r="K510" s="151"/>
      <c r="L510" s="156"/>
      <c r="M510" s="157"/>
      <c r="N510" s="157"/>
      <c r="O510" s="157"/>
      <c r="P510" s="157"/>
      <c r="Q510" s="157"/>
      <c r="R510" s="157"/>
      <c r="S510" s="157"/>
      <c r="T510" s="158"/>
      <c r="U510" s="168"/>
    </row>
    <row r="511" spans="1:21" ht="12.75" x14ac:dyDescent="0.2">
      <c r="A511" s="242" t="s">
        <v>320</v>
      </c>
      <c r="B511" s="170" t="s">
        <v>896</v>
      </c>
      <c r="C511" s="171">
        <v>1</v>
      </c>
      <c r="D511" s="183"/>
      <c r="E511" s="183"/>
      <c r="F511" s="183"/>
      <c r="G511" s="193" t="s">
        <v>705</v>
      </c>
      <c r="H511" s="151"/>
      <c r="I511" s="151"/>
      <c r="J511" s="151"/>
      <c r="K511" s="151"/>
      <c r="L511" s="156"/>
      <c r="M511" s="157"/>
      <c r="N511" s="157"/>
      <c r="O511" s="157"/>
      <c r="P511" s="157"/>
      <c r="Q511" s="157"/>
      <c r="R511" s="157"/>
      <c r="S511" s="157"/>
      <c r="T511" s="158"/>
      <c r="U511" s="168"/>
    </row>
    <row r="512" spans="1:21" ht="21" x14ac:dyDescent="0.2">
      <c r="A512" s="191" t="s">
        <v>196</v>
      </c>
      <c r="B512" s="170"/>
      <c r="C512" s="171"/>
      <c r="D512" s="183"/>
      <c r="E512" s="183"/>
      <c r="F512" s="183"/>
      <c r="G512" s="192"/>
      <c r="H512" s="151"/>
      <c r="I512" s="151"/>
      <c r="J512" s="151"/>
      <c r="K512" s="151"/>
      <c r="L512" s="156"/>
      <c r="M512" s="157"/>
      <c r="N512" s="157"/>
      <c r="O512" s="157"/>
      <c r="P512" s="157"/>
      <c r="Q512" s="157"/>
      <c r="R512" s="157"/>
      <c r="S512" s="157"/>
      <c r="T512" s="158"/>
      <c r="U512" s="168"/>
    </row>
    <row r="513" spans="1:21" ht="21" x14ac:dyDescent="0.2">
      <c r="A513" s="169" t="s">
        <v>498</v>
      </c>
      <c r="B513" s="170" t="s">
        <v>896</v>
      </c>
      <c r="C513" s="171">
        <v>1</v>
      </c>
      <c r="D513" s="183"/>
      <c r="E513" s="183"/>
      <c r="F513" s="183"/>
      <c r="G513" s="193" t="s">
        <v>705</v>
      </c>
      <c r="H513" s="151"/>
      <c r="I513" s="151"/>
      <c r="J513" s="151"/>
      <c r="K513" s="151"/>
      <c r="L513" s="156"/>
      <c r="M513" s="157"/>
      <c r="N513" s="157"/>
      <c r="O513" s="157"/>
      <c r="P513" s="157"/>
      <c r="Q513" s="157"/>
      <c r="R513" s="157"/>
      <c r="S513" s="157"/>
      <c r="T513" s="158"/>
      <c r="U513" s="168"/>
    </row>
    <row r="514" spans="1:21" ht="12.75" x14ac:dyDescent="0.2">
      <c r="A514" s="169" t="s">
        <v>294</v>
      </c>
      <c r="B514" s="170"/>
      <c r="C514" s="171"/>
      <c r="D514" s="183"/>
      <c r="E514" s="183"/>
      <c r="F514" s="183"/>
      <c r="G514" s="192"/>
      <c r="H514" s="151"/>
      <c r="I514" s="151"/>
      <c r="J514" s="151"/>
      <c r="K514" s="151"/>
      <c r="L514" s="156"/>
      <c r="M514" s="157"/>
      <c r="N514" s="157"/>
      <c r="O514" s="157"/>
      <c r="P514" s="157"/>
      <c r="Q514" s="157"/>
      <c r="R514" s="157"/>
      <c r="S514" s="157"/>
      <c r="T514" s="158"/>
      <c r="U514" s="168"/>
    </row>
    <row r="515" spans="1:21" ht="12.75" x14ac:dyDescent="0.2">
      <c r="A515" s="175" t="s">
        <v>501</v>
      </c>
      <c r="B515" s="170" t="s">
        <v>896</v>
      </c>
      <c r="C515" s="171">
        <v>1</v>
      </c>
      <c r="D515" s="183"/>
      <c r="E515" s="183"/>
      <c r="F515" s="183"/>
      <c r="G515" s="193" t="s">
        <v>705</v>
      </c>
      <c r="H515" s="151"/>
      <c r="I515" s="151"/>
      <c r="J515" s="151"/>
      <c r="K515" s="151"/>
      <c r="L515" s="156"/>
      <c r="M515" s="157"/>
      <c r="N515" s="157"/>
      <c r="O515" s="157"/>
      <c r="P515" s="157"/>
      <c r="Q515" s="157"/>
      <c r="R515" s="157"/>
      <c r="S515" s="157"/>
      <c r="T515" s="158"/>
      <c r="U515" s="168"/>
    </row>
    <row r="516" spans="1:21" ht="12.75" x14ac:dyDescent="0.2">
      <c r="A516" s="169" t="s">
        <v>321</v>
      </c>
      <c r="B516" s="170" t="s">
        <v>896</v>
      </c>
      <c r="C516" s="171">
        <v>1</v>
      </c>
      <c r="D516" s="183"/>
      <c r="E516" s="183"/>
      <c r="F516" s="183"/>
      <c r="G516" s="192" t="s">
        <v>705</v>
      </c>
      <c r="H516" s="151"/>
      <c r="I516" s="151"/>
      <c r="J516" s="151"/>
      <c r="K516" s="151"/>
      <c r="L516" s="156"/>
      <c r="M516" s="157"/>
      <c r="N516" s="157"/>
      <c r="O516" s="157"/>
      <c r="P516" s="157"/>
      <c r="Q516" s="157"/>
      <c r="R516" s="157"/>
      <c r="S516" s="157"/>
      <c r="T516" s="158"/>
      <c r="U516" s="168"/>
    </row>
    <row r="517" spans="1:21" ht="12.75" x14ac:dyDescent="0.2">
      <c r="A517" s="169" t="s">
        <v>159</v>
      </c>
      <c r="B517" s="170"/>
      <c r="C517" s="171"/>
      <c r="D517" s="183"/>
      <c r="E517" s="183"/>
      <c r="F517" s="183"/>
      <c r="G517" s="193"/>
      <c r="H517" s="151"/>
      <c r="I517" s="151"/>
      <c r="J517" s="151"/>
      <c r="K517" s="151"/>
      <c r="L517" s="156"/>
      <c r="M517" s="157"/>
      <c r="N517" s="157"/>
      <c r="O517" s="157"/>
      <c r="P517" s="157"/>
      <c r="Q517" s="157"/>
      <c r="R517" s="157"/>
      <c r="S517" s="157"/>
      <c r="T517" s="158"/>
      <c r="U517" s="168"/>
    </row>
    <row r="518" spans="1:21" ht="12.75" x14ac:dyDescent="0.2">
      <c r="A518" s="175" t="s">
        <v>160</v>
      </c>
      <c r="B518" s="170" t="s">
        <v>896</v>
      </c>
      <c r="C518" s="171">
        <v>1</v>
      </c>
      <c r="D518" s="183"/>
      <c r="E518" s="183"/>
      <c r="F518" s="183"/>
      <c r="G518" s="192" t="s">
        <v>705</v>
      </c>
      <c r="H518" s="151"/>
      <c r="I518" s="151"/>
      <c r="J518" s="151"/>
      <c r="K518" s="151"/>
      <c r="L518" s="156"/>
      <c r="M518" s="157"/>
      <c r="N518" s="157"/>
      <c r="O518" s="157"/>
      <c r="P518" s="157"/>
      <c r="Q518" s="157"/>
      <c r="R518" s="157"/>
      <c r="S518" s="157"/>
      <c r="T518" s="158"/>
      <c r="U518" s="168"/>
    </row>
    <row r="519" spans="1:21" ht="12.75" x14ac:dyDescent="0.2">
      <c r="A519" s="175" t="s">
        <v>502</v>
      </c>
      <c r="B519" s="170" t="s">
        <v>896</v>
      </c>
      <c r="C519" s="171">
        <v>1</v>
      </c>
      <c r="D519" s="183"/>
      <c r="E519" s="183"/>
      <c r="F519" s="183"/>
      <c r="G519" s="193" t="s">
        <v>705</v>
      </c>
      <c r="H519" s="151"/>
      <c r="I519" s="151"/>
      <c r="J519" s="151"/>
      <c r="K519" s="151"/>
      <c r="L519" s="156"/>
      <c r="M519" s="157"/>
      <c r="N519" s="157"/>
      <c r="O519" s="157"/>
      <c r="P519" s="157"/>
      <c r="Q519" s="157"/>
      <c r="R519" s="157"/>
      <c r="S519" s="157"/>
      <c r="T519" s="158"/>
      <c r="U519" s="168"/>
    </row>
    <row r="520" spans="1:21" ht="12.75" x14ac:dyDescent="0.2">
      <c r="A520" s="169" t="s">
        <v>503</v>
      </c>
      <c r="B520" s="170" t="s">
        <v>896</v>
      </c>
      <c r="C520" s="171">
        <v>1</v>
      </c>
      <c r="D520" s="183"/>
      <c r="E520" s="183"/>
      <c r="F520" s="183"/>
      <c r="G520" s="192" t="s">
        <v>705</v>
      </c>
      <c r="H520" s="151"/>
      <c r="I520" s="151"/>
      <c r="J520" s="151"/>
      <c r="K520" s="151"/>
      <c r="L520" s="156"/>
      <c r="M520" s="157"/>
      <c r="N520" s="157"/>
      <c r="O520" s="157"/>
      <c r="P520" s="157"/>
      <c r="Q520" s="157"/>
      <c r="R520" s="157"/>
      <c r="S520" s="157"/>
      <c r="T520" s="158"/>
      <c r="U520" s="168"/>
    </row>
    <row r="521" spans="1:21" ht="21" x14ac:dyDescent="0.2">
      <c r="A521" s="175" t="s">
        <v>505</v>
      </c>
      <c r="B521" s="170" t="s">
        <v>896</v>
      </c>
      <c r="C521" s="171">
        <v>1</v>
      </c>
      <c r="D521" s="183"/>
      <c r="E521" s="183"/>
      <c r="F521" s="183"/>
      <c r="G521" s="193" t="s">
        <v>705</v>
      </c>
      <c r="H521" s="151"/>
      <c r="I521" s="151"/>
      <c r="J521" s="151"/>
      <c r="K521" s="151"/>
      <c r="L521" s="156"/>
      <c r="M521" s="157"/>
      <c r="N521" s="157"/>
      <c r="O521" s="157"/>
      <c r="P521" s="157"/>
      <c r="Q521" s="157"/>
      <c r="R521" s="157"/>
      <c r="S521" s="157"/>
      <c r="T521" s="158"/>
      <c r="U521" s="168"/>
    </row>
    <row r="522" spans="1:21" ht="12.75" x14ac:dyDescent="0.2">
      <c r="A522" s="175" t="s">
        <v>504</v>
      </c>
      <c r="B522" s="170" t="s">
        <v>896</v>
      </c>
      <c r="C522" s="171">
        <v>1</v>
      </c>
      <c r="D522" s="183"/>
      <c r="E522" s="183"/>
      <c r="F522" s="183"/>
      <c r="G522" s="192" t="s">
        <v>705</v>
      </c>
      <c r="H522" s="151"/>
      <c r="I522" s="151"/>
      <c r="J522" s="151"/>
      <c r="K522" s="151"/>
      <c r="L522" s="156"/>
      <c r="M522" s="157"/>
      <c r="N522" s="157"/>
      <c r="O522" s="157"/>
      <c r="P522" s="157"/>
      <c r="Q522" s="157"/>
      <c r="R522" s="157"/>
      <c r="S522" s="157"/>
      <c r="T522" s="158"/>
      <c r="U522" s="168"/>
    </row>
    <row r="523" spans="1:21" ht="12.75" x14ac:dyDescent="0.2">
      <c r="A523" s="169" t="s">
        <v>506</v>
      </c>
      <c r="B523" s="170" t="s">
        <v>896</v>
      </c>
      <c r="C523" s="171">
        <v>1</v>
      </c>
      <c r="D523" s="183"/>
      <c r="E523" s="183"/>
      <c r="F523" s="183"/>
      <c r="G523" s="193" t="s">
        <v>705</v>
      </c>
      <c r="H523" s="151"/>
      <c r="I523" s="151"/>
      <c r="J523" s="151"/>
      <c r="K523" s="151"/>
      <c r="L523" s="156"/>
      <c r="M523" s="157"/>
      <c r="N523" s="157"/>
      <c r="O523" s="157"/>
      <c r="P523" s="157"/>
      <c r="Q523" s="157"/>
      <c r="R523" s="157"/>
      <c r="S523" s="157"/>
      <c r="T523" s="158"/>
      <c r="U523" s="168"/>
    </row>
    <row r="524" spans="1:21" ht="21" x14ac:dyDescent="0.2">
      <c r="A524" s="169" t="s">
        <v>507</v>
      </c>
      <c r="B524" s="170" t="s">
        <v>896</v>
      </c>
      <c r="C524" s="171">
        <v>1</v>
      </c>
      <c r="D524" s="183"/>
      <c r="E524" s="183"/>
      <c r="F524" s="183"/>
      <c r="G524" s="192" t="s">
        <v>705</v>
      </c>
      <c r="H524" s="151"/>
      <c r="I524" s="151"/>
      <c r="J524" s="151"/>
      <c r="K524" s="151"/>
      <c r="L524" s="156"/>
      <c r="M524" s="157"/>
      <c r="N524" s="157"/>
      <c r="O524" s="157"/>
      <c r="P524" s="157"/>
      <c r="Q524" s="157"/>
      <c r="R524" s="157"/>
      <c r="S524" s="157"/>
      <c r="T524" s="158"/>
      <c r="U524" s="168"/>
    </row>
    <row r="525" spans="1:21" ht="12.75" x14ac:dyDescent="0.2">
      <c r="A525" s="169" t="s">
        <v>508</v>
      </c>
      <c r="B525" s="170" t="s">
        <v>896</v>
      </c>
      <c r="C525" s="171">
        <v>1</v>
      </c>
      <c r="D525" s="183"/>
      <c r="E525" s="183"/>
      <c r="F525" s="183"/>
      <c r="G525" s="193" t="s">
        <v>705</v>
      </c>
      <c r="H525" s="151"/>
      <c r="I525" s="151"/>
      <c r="J525" s="151"/>
      <c r="K525" s="151"/>
      <c r="L525" s="156"/>
      <c r="M525" s="157"/>
      <c r="N525" s="157"/>
      <c r="O525" s="157"/>
      <c r="P525" s="157"/>
      <c r="Q525" s="157"/>
      <c r="R525" s="157"/>
      <c r="S525" s="157"/>
      <c r="T525" s="158"/>
      <c r="U525" s="168"/>
    </row>
    <row r="526" spans="1:21" ht="12.75" x14ac:dyDescent="0.2">
      <c r="A526" s="169" t="s">
        <v>509</v>
      </c>
      <c r="B526" s="170" t="s">
        <v>896</v>
      </c>
      <c r="C526" s="171">
        <v>1</v>
      </c>
      <c r="D526" s="183"/>
      <c r="E526" s="183"/>
      <c r="F526" s="183"/>
      <c r="G526" s="192" t="s">
        <v>705</v>
      </c>
      <c r="H526" s="151"/>
      <c r="I526" s="151"/>
      <c r="J526" s="151"/>
      <c r="K526" s="151"/>
      <c r="L526" s="156"/>
      <c r="M526" s="157"/>
      <c r="N526" s="157"/>
      <c r="O526" s="157"/>
      <c r="P526" s="157"/>
      <c r="Q526" s="157"/>
      <c r="R526" s="157"/>
      <c r="S526" s="157"/>
      <c r="T526" s="158"/>
      <c r="U526" s="168"/>
    </row>
    <row r="527" spans="1:21" ht="12.75" x14ac:dyDescent="0.2">
      <c r="A527" s="169" t="s">
        <v>510</v>
      </c>
      <c r="B527" s="170" t="s">
        <v>896</v>
      </c>
      <c r="C527" s="171">
        <v>1</v>
      </c>
      <c r="D527" s="183"/>
      <c r="E527" s="183"/>
      <c r="F527" s="183"/>
      <c r="G527" s="192" t="s">
        <v>705</v>
      </c>
      <c r="H527" s="151"/>
      <c r="I527" s="151"/>
      <c r="J527" s="151"/>
      <c r="K527" s="151"/>
      <c r="L527" s="156"/>
      <c r="M527" s="157"/>
      <c r="N527" s="157"/>
      <c r="O527" s="157"/>
      <c r="P527" s="157"/>
      <c r="Q527" s="157"/>
      <c r="R527" s="157"/>
      <c r="S527" s="157"/>
      <c r="T527" s="158"/>
      <c r="U527" s="168"/>
    </row>
    <row r="528" spans="1:21" ht="12.75" x14ac:dyDescent="0.2">
      <c r="A528" s="169" t="s">
        <v>511</v>
      </c>
      <c r="B528" s="170" t="s">
        <v>896</v>
      </c>
      <c r="C528" s="171">
        <v>1</v>
      </c>
      <c r="D528" s="183"/>
      <c r="E528" s="183"/>
      <c r="F528" s="183"/>
      <c r="G528" s="192" t="s">
        <v>705</v>
      </c>
      <c r="H528" s="151"/>
      <c r="I528" s="151"/>
      <c r="J528" s="151"/>
      <c r="K528" s="151"/>
      <c r="L528" s="156"/>
      <c r="M528" s="157"/>
      <c r="N528" s="157"/>
      <c r="O528" s="157"/>
      <c r="P528" s="157"/>
      <c r="Q528" s="157"/>
      <c r="R528" s="157"/>
      <c r="S528" s="157"/>
      <c r="T528" s="158"/>
      <c r="U528" s="168"/>
    </row>
    <row r="529" spans="1:21" ht="12.75" x14ac:dyDescent="0.2">
      <c r="A529" s="175" t="s">
        <v>294</v>
      </c>
      <c r="B529" s="170"/>
      <c r="C529" s="171"/>
      <c r="D529" s="183"/>
      <c r="E529" s="183"/>
      <c r="F529" s="183"/>
      <c r="G529" s="193"/>
      <c r="H529" s="151"/>
      <c r="I529" s="151"/>
      <c r="J529" s="151"/>
      <c r="K529" s="151"/>
      <c r="L529" s="156"/>
      <c r="M529" s="157"/>
      <c r="N529" s="157"/>
      <c r="O529" s="157"/>
      <c r="P529" s="157"/>
      <c r="Q529" s="157"/>
      <c r="R529" s="157"/>
      <c r="S529" s="157"/>
      <c r="T529" s="158"/>
      <c r="U529" s="168"/>
    </row>
    <row r="530" spans="1:21" ht="12.75" x14ac:dyDescent="0.2">
      <c r="A530" s="175" t="s">
        <v>161</v>
      </c>
      <c r="B530" s="170" t="s">
        <v>896</v>
      </c>
      <c r="C530" s="171">
        <v>1</v>
      </c>
      <c r="D530" s="183"/>
      <c r="E530" s="183"/>
      <c r="F530" s="183"/>
      <c r="G530" s="192" t="s">
        <v>705</v>
      </c>
      <c r="H530" s="151"/>
      <c r="I530" s="151"/>
      <c r="J530" s="151"/>
      <c r="K530" s="151"/>
      <c r="L530" s="156"/>
      <c r="M530" s="157"/>
      <c r="N530" s="157"/>
      <c r="O530" s="157"/>
      <c r="P530" s="157"/>
      <c r="Q530" s="157"/>
      <c r="R530" s="157"/>
      <c r="S530" s="157"/>
      <c r="T530" s="158"/>
      <c r="U530" s="168"/>
    </row>
    <row r="531" spans="1:21" ht="21" x14ac:dyDescent="0.2">
      <c r="A531" s="175" t="s">
        <v>571</v>
      </c>
      <c r="B531" s="170" t="s">
        <v>896</v>
      </c>
      <c r="C531" s="171">
        <v>1</v>
      </c>
      <c r="D531" s="183"/>
      <c r="E531" s="183"/>
      <c r="F531" s="183"/>
      <c r="G531" s="193" t="s">
        <v>705</v>
      </c>
      <c r="H531" s="151"/>
      <c r="I531" s="151"/>
      <c r="J531" s="151"/>
      <c r="K531" s="151"/>
      <c r="L531" s="156"/>
      <c r="M531" s="157"/>
      <c r="N531" s="157"/>
      <c r="O531" s="157"/>
      <c r="P531" s="157"/>
      <c r="Q531" s="157"/>
      <c r="R531" s="157"/>
      <c r="S531" s="157"/>
      <c r="T531" s="158"/>
      <c r="U531" s="168"/>
    </row>
    <row r="532" spans="1:21" ht="12.75" x14ac:dyDescent="0.2">
      <c r="A532" s="175" t="s">
        <v>572</v>
      </c>
      <c r="B532" s="170" t="s">
        <v>896</v>
      </c>
      <c r="C532" s="171">
        <v>1</v>
      </c>
      <c r="D532" s="183"/>
      <c r="E532" s="183"/>
      <c r="F532" s="183"/>
      <c r="G532" s="192" t="s">
        <v>705</v>
      </c>
      <c r="H532" s="151"/>
      <c r="I532" s="151"/>
      <c r="J532" s="151"/>
      <c r="K532" s="151"/>
      <c r="L532" s="156"/>
      <c r="M532" s="157"/>
      <c r="N532" s="157"/>
      <c r="O532" s="157"/>
      <c r="P532" s="157"/>
      <c r="Q532" s="157"/>
      <c r="R532" s="157"/>
      <c r="S532" s="157"/>
      <c r="T532" s="158"/>
      <c r="U532" s="168"/>
    </row>
    <row r="533" spans="1:21" ht="12.75" x14ac:dyDescent="0.2">
      <c r="A533" s="175" t="s">
        <v>162</v>
      </c>
      <c r="B533" s="170" t="s">
        <v>896</v>
      </c>
      <c r="C533" s="171">
        <v>1</v>
      </c>
      <c r="D533" s="183"/>
      <c r="E533" s="183"/>
      <c r="F533" s="183"/>
      <c r="G533" s="193" t="s">
        <v>705</v>
      </c>
      <c r="H533" s="151"/>
      <c r="I533" s="151"/>
      <c r="J533" s="151"/>
      <c r="K533" s="151"/>
      <c r="L533" s="156"/>
      <c r="M533" s="157"/>
      <c r="N533" s="157"/>
      <c r="O533" s="157"/>
      <c r="P533" s="157"/>
      <c r="Q533" s="157"/>
      <c r="R533" s="157"/>
      <c r="S533" s="157"/>
      <c r="T533" s="158"/>
      <c r="U533" s="168"/>
    </row>
    <row r="534" spans="1:21" ht="12.75" x14ac:dyDescent="0.2">
      <c r="A534" s="189" t="s">
        <v>446</v>
      </c>
      <c r="B534" s="170"/>
      <c r="C534" s="171"/>
      <c r="D534" s="183"/>
      <c r="E534" s="183"/>
      <c r="F534" s="183"/>
      <c r="G534" s="192"/>
      <c r="H534" s="151"/>
      <c r="I534" s="151"/>
      <c r="J534" s="151"/>
      <c r="K534" s="151"/>
      <c r="L534" s="156"/>
      <c r="M534" s="157"/>
      <c r="N534" s="157"/>
      <c r="O534" s="157"/>
      <c r="P534" s="157"/>
      <c r="Q534" s="157"/>
      <c r="R534" s="157"/>
      <c r="S534" s="157"/>
      <c r="T534" s="158"/>
      <c r="U534" s="168"/>
    </row>
    <row r="535" spans="1:21" ht="12.75" x14ac:dyDescent="0.2">
      <c r="A535" s="189" t="s">
        <v>163</v>
      </c>
      <c r="B535" s="170" t="s">
        <v>896</v>
      </c>
      <c r="C535" s="171">
        <v>1</v>
      </c>
      <c r="D535" s="183"/>
      <c r="E535" s="183"/>
      <c r="F535" s="183"/>
      <c r="G535" s="193" t="s">
        <v>705</v>
      </c>
      <c r="H535" s="151"/>
      <c r="I535" s="151"/>
      <c r="J535" s="151"/>
      <c r="K535" s="151"/>
      <c r="L535" s="156"/>
      <c r="M535" s="157"/>
      <c r="N535" s="157"/>
      <c r="O535" s="157"/>
      <c r="P535" s="157"/>
      <c r="Q535" s="157"/>
      <c r="R535" s="157"/>
      <c r="S535" s="157"/>
      <c r="T535" s="158"/>
      <c r="U535" s="168"/>
    </row>
    <row r="536" spans="1:21" ht="12.75" x14ac:dyDescent="0.2">
      <c r="A536" s="189" t="s">
        <v>164</v>
      </c>
      <c r="B536" s="170" t="s">
        <v>896</v>
      </c>
      <c r="C536" s="171">
        <v>1</v>
      </c>
      <c r="D536" s="183"/>
      <c r="E536" s="183"/>
      <c r="F536" s="183"/>
      <c r="G536" s="192" t="s">
        <v>705</v>
      </c>
      <c r="H536" s="151"/>
      <c r="I536" s="151"/>
      <c r="J536" s="151"/>
      <c r="K536" s="151"/>
      <c r="L536" s="156"/>
      <c r="M536" s="157"/>
      <c r="N536" s="157"/>
      <c r="O536" s="157"/>
      <c r="P536" s="157"/>
      <c r="Q536" s="157"/>
      <c r="R536" s="157"/>
      <c r="S536" s="157"/>
      <c r="T536" s="158"/>
      <c r="U536" s="168"/>
    </row>
    <row r="537" spans="1:21" ht="12.75" x14ac:dyDescent="0.2">
      <c r="A537" s="189" t="s">
        <v>165</v>
      </c>
      <c r="B537" s="170" t="s">
        <v>896</v>
      </c>
      <c r="C537" s="171">
        <v>1</v>
      </c>
      <c r="D537" s="183"/>
      <c r="E537" s="183"/>
      <c r="F537" s="183"/>
      <c r="G537" s="193" t="s">
        <v>705</v>
      </c>
      <c r="H537" s="151"/>
      <c r="I537" s="151"/>
      <c r="J537" s="151"/>
      <c r="K537" s="151"/>
      <c r="L537" s="156"/>
      <c r="M537" s="157"/>
      <c r="N537" s="157"/>
      <c r="O537" s="157"/>
      <c r="P537" s="157"/>
      <c r="Q537" s="157"/>
      <c r="R537" s="157"/>
      <c r="S537" s="157"/>
      <c r="T537" s="158"/>
      <c r="U537" s="168"/>
    </row>
    <row r="538" spans="1:21" ht="21" x14ac:dyDescent="0.2">
      <c r="A538" s="189" t="s">
        <v>166</v>
      </c>
      <c r="B538" s="170" t="s">
        <v>896</v>
      </c>
      <c r="C538" s="171">
        <v>1</v>
      </c>
      <c r="D538" s="183"/>
      <c r="E538" s="183"/>
      <c r="F538" s="183"/>
      <c r="G538" s="192" t="s">
        <v>705</v>
      </c>
      <c r="H538" s="151"/>
      <c r="I538" s="151"/>
      <c r="J538" s="151"/>
      <c r="K538" s="151"/>
      <c r="L538" s="156"/>
      <c r="M538" s="157"/>
      <c r="N538" s="157"/>
      <c r="O538" s="157"/>
      <c r="P538" s="157"/>
      <c r="Q538" s="157"/>
      <c r="R538" s="157"/>
      <c r="S538" s="157"/>
      <c r="T538" s="158"/>
      <c r="U538" s="168"/>
    </row>
    <row r="539" spans="1:21" ht="21" x14ac:dyDescent="0.2">
      <c r="A539" s="189" t="s">
        <v>573</v>
      </c>
      <c r="B539" s="170" t="s">
        <v>896</v>
      </c>
      <c r="C539" s="171">
        <v>1</v>
      </c>
      <c r="D539" s="183"/>
      <c r="E539" s="183"/>
      <c r="F539" s="183"/>
      <c r="G539" s="193" t="s">
        <v>705</v>
      </c>
      <c r="H539" s="151"/>
      <c r="I539" s="151"/>
      <c r="J539" s="151"/>
      <c r="K539" s="151"/>
      <c r="L539" s="156"/>
      <c r="M539" s="157"/>
      <c r="N539" s="157"/>
      <c r="O539" s="157"/>
      <c r="P539" s="157"/>
      <c r="Q539" s="157"/>
      <c r="R539" s="157"/>
      <c r="S539" s="157"/>
      <c r="T539" s="158"/>
      <c r="U539" s="168"/>
    </row>
    <row r="540" spans="1:21" ht="12.75" x14ac:dyDescent="0.2">
      <c r="A540" s="169" t="s">
        <v>809</v>
      </c>
      <c r="B540" s="170" t="s">
        <v>896</v>
      </c>
      <c r="C540" s="171">
        <v>1</v>
      </c>
      <c r="D540" s="183"/>
      <c r="E540" s="183"/>
      <c r="F540" s="183"/>
      <c r="G540" s="192" t="s">
        <v>705</v>
      </c>
      <c r="H540" s="151"/>
      <c r="I540" s="151"/>
      <c r="J540" s="151"/>
      <c r="K540" s="151"/>
      <c r="L540" s="156"/>
      <c r="M540" s="157"/>
      <c r="N540" s="157"/>
      <c r="O540" s="157"/>
      <c r="P540" s="157"/>
      <c r="Q540" s="157"/>
      <c r="R540" s="157"/>
      <c r="S540" s="157"/>
      <c r="T540" s="158"/>
      <c r="U540" s="168"/>
    </row>
    <row r="541" spans="1:21" ht="12.75" x14ac:dyDescent="0.2">
      <c r="A541" s="241" t="s">
        <v>485</v>
      </c>
      <c r="B541" s="170" t="s">
        <v>896</v>
      </c>
      <c r="C541" s="171">
        <v>1</v>
      </c>
      <c r="D541" s="183"/>
      <c r="E541" s="183"/>
      <c r="F541" s="183"/>
      <c r="G541" s="193" t="s">
        <v>705</v>
      </c>
      <c r="H541" s="151"/>
      <c r="I541" s="151"/>
      <c r="J541" s="151"/>
      <c r="K541" s="151"/>
      <c r="L541" s="156"/>
      <c r="M541" s="157"/>
      <c r="N541" s="157"/>
      <c r="O541" s="157"/>
      <c r="P541" s="157"/>
      <c r="Q541" s="157"/>
      <c r="R541" s="157"/>
      <c r="S541" s="157"/>
      <c r="T541" s="158"/>
      <c r="U541" s="168"/>
    </row>
    <row r="542" spans="1:21" ht="21" x14ac:dyDescent="0.2">
      <c r="A542" s="169" t="s">
        <v>574</v>
      </c>
      <c r="B542" s="170" t="s">
        <v>896</v>
      </c>
      <c r="C542" s="171">
        <v>1</v>
      </c>
      <c r="D542" s="183"/>
      <c r="E542" s="183"/>
      <c r="F542" s="183"/>
      <c r="G542" s="192" t="s">
        <v>705</v>
      </c>
      <c r="H542" s="151"/>
      <c r="I542" s="151"/>
      <c r="J542" s="151"/>
      <c r="K542" s="151"/>
      <c r="L542" s="156"/>
      <c r="M542" s="157"/>
      <c r="N542" s="157"/>
      <c r="O542" s="157"/>
      <c r="P542" s="157"/>
      <c r="Q542" s="157"/>
      <c r="R542" s="157"/>
      <c r="S542" s="157"/>
      <c r="T542" s="158"/>
      <c r="U542" s="168"/>
    </row>
    <row r="543" spans="1:21" ht="12.75" x14ac:dyDescent="0.2">
      <c r="A543" s="169"/>
      <c r="B543" s="170"/>
      <c r="C543" s="171"/>
      <c r="D543" s="183"/>
      <c r="E543" s="183"/>
      <c r="F543" s="183"/>
      <c r="G543" s="184"/>
      <c r="H543" s="151"/>
      <c r="I543" s="151"/>
      <c r="J543" s="151"/>
      <c r="K543" s="151"/>
      <c r="L543" s="156"/>
      <c r="M543" s="157"/>
      <c r="N543" s="157"/>
      <c r="O543" s="157"/>
      <c r="P543" s="157"/>
      <c r="Q543" s="157"/>
      <c r="R543" s="157"/>
      <c r="S543" s="157"/>
      <c r="T543" s="158"/>
      <c r="U543" s="168"/>
    </row>
    <row r="544" spans="1:21" ht="28.5" x14ac:dyDescent="0.2">
      <c r="A544" s="217" t="s">
        <v>167</v>
      </c>
      <c r="B544" s="186"/>
      <c r="C544" s="171"/>
      <c r="D544" s="183"/>
      <c r="E544" s="183"/>
      <c r="F544" s="183"/>
      <c r="G544" s="184"/>
      <c r="H544" s="151"/>
      <c r="I544" s="151"/>
      <c r="J544" s="151"/>
      <c r="K544" s="151"/>
      <c r="L544" s="156"/>
      <c r="M544" s="157"/>
      <c r="N544" s="157"/>
      <c r="O544" s="157"/>
      <c r="P544" s="157"/>
      <c r="Q544" s="157"/>
      <c r="R544" s="157"/>
      <c r="S544" s="157"/>
      <c r="T544" s="158"/>
      <c r="U544" s="168"/>
    </row>
    <row r="545" spans="1:21" ht="12.75" x14ac:dyDescent="0.2">
      <c r="A545" s="191" t="s">
        <v>197</v>
      </c>
      <c r="B545" s="170" t="s">
        <v>896</v>
      </c>
      <c r="C545" s="171">
        <v>1</v>
      </c>
      <c r="D545" s="181"/>
      <c r="E545" s="181"/>
      <c r="F545" s="183"/>
      <c r="G545" s="184" t="s">
        <v>705</v>
      </c>
      <c r="H545" s="151"/>
      <c r="I545" s="151"/>
      <c r="J545" s="151"/>
      <c r="K545" s="151"/>
      <c r="L545" s="156"/>
      <c r="M545" s="157"/>
      <c r="N545" s="157"/>
      <c r="O545" s="157"/>
      <c r="P545" s="157"/>
      <c r="Q545" s="157"/>
      <c r="R545" s="157"/>
      <c r="S545" s="157"/>
      <c r="T545" s="158"/>
      <c r="U545" s="168"/>
    </row>
    <row r="546" spans="1:21" ht="12.75" x14ac:dyDescent="0.2">
      <c r="A546" s="169" t="s">
        <v>446</v>
      </c>
      <c r="B546" s="170"/>
      <c r="C546" s="171"/>
      <c r="D546" s="187"/>
      <c r="E546" s="187"/>
      <c r="F546" s="183"/>
      <c r="G546" s="184"/>
      <c r="H546" s="151"/>
      <c r="I546" s="151"/>
      <c r="J546" s="151"/>
      <c r="K546" s="151"/>
      <c r="L546" s="156"/>
      <c r="M546" s="157"/>
      <c r="N546" s="157"/>
      <c r="O546" s="157"/>
      <c r="P546" s="157"/>
      <c r="Q546" s="157"/>
      <c r="R546" s="157"/>
      <c r="S546" s="157"/>
      <c r="T546" s="158"/>
      <c r="U546" s="168"/>
    </row>
    <row r="547" spans="1:21" ht="12.75" x14ac:dyDescent="0.2">
      <c r="A547" s="175" t="s">
        <v>168</v>
      </c>
      <c r="B547" s="170" t="s">
        <v>896</v>
      </c>
      <c r="C547" s="171">
        <v>1</v>
      </c>
      <c r="D547" s="187"/>
      <c r="E547" s="187"/>
      <c r="F547" s="183"/>
      <c r="G547" s="184" t="s">
        <v>705</v>
      </c>
      <c r="H547" s="151"/>
      <c r="I547" s="151"/>
      <c r="J547" s="151"/>
      <c r="K547" s="151"/>
      <c r="L547" s="156"/>
      <c r="M547" s="157"/>
      <c r="N547" s="157"/>
      <c r="O547" s="157"/>
      <c r="P547" s="157"/>
      <c r="Q547" s="157"/>
      <c r="R547" s="157"/>
      <c r="S547" s="157"/>
      <c r="T547" s="158"/>
      <c r="U547" s="168"/>
    </row>
    <row r="548" spans="1:21" ht="21" x14ac:dyDescent="0.2">
      <c r="A548" s="175" t="s">
        <v>198</v>
      </c>
      <c r="B548" s="170" t="s">
        <v>896</v>
      </c>
      <c r="C548" s="171">
        <v>1</v>
      </c>
      <c r="D548" s="187"/>
      <c r="E548" s="187"/>
      <c r="F548" s="183"/>
      <c r="G548" s="184" t="s">
        <v>705</v>
      </c>
      <c r="H548" s="151"/>
      <c r="I548" s="151"/>
      <c r="J548" s="151"/>
      <c r="K548" s="151"/>
      <c r="L548" s="156"/>
      <c r="M548" s="157"/>
      <c r="N548" s="157"/>
      <c r="O548" s="157"/>
      <c r="P548" s="157"/>
      <c r="Q548" s="157"/>
      <c r="R548" s="157"/>
      <c r="S548" s="157"/>
      <c r="T548" s="158"/>
      <c r="U548" s="168"/>
    </row>
    <row r="549" spans="1:21" ht="12.75" x14ac:dyDescent="0.2">
      <c r="A549" s="175" t="s">
        <v>169</v>
      </c>
      <c r="B549" s="170" t="s">
        <v>896</v>
      </c>
      <c r="C549" s="171">
        <v>1</v>
      </c>
      <c r="D549" s="187"/>
      <c r="E549" s="187"/>
      <c r="F549" s="183"/>
      <c r="G549" s="184" t="s">
        <v>705</v>
      </c>
      <c r="H549" s="151"/>
      <c r="I549" s="151"/>
      <c r="J549" s="151"/>
      <c r="K549" s="151"/>
      <c r="L549" s="156"/>
      <c r="M549" s="157"/>
      <c r="N549" s="157"/>
      <c r="O549" s="157"/>
      <c r="P549" s="157"/>
      <c r="Q549" s="157"/>
      <c r="R549" s="157"/>
      <c r="S549" s="157"/>
      <c r="T549" s="158"/>
      <c r="U549" s="168"/>
    </row>
    <row r="550" spans="1:21" ht="12.75" x14ac:dyDescent="0.2">
      <c r="A550" s="189" t="s">
        <v>170</v>
      </c>
      <c r="B550" s="170" t="s">
        <v>896</v>
      </c>
      <c r="C550" s="171">
        <v>1</v>
      </c>
      <c r="D550" s="187"/>
      <c r="E550" s="187"/>
      <c r="F550" s="183"/>
      <c r="G550" s="184" t="s">
        <v>705</v>
      </c>
      <c r="H550" s="151"/>
      <c r="I550" s="151"/>
      <c r="J550" s="151"/>
      <c r="K550" s="151"/>
      <c r="L550" s="156"/>
      <c r="M550" s="157"/>
      <c r="N550" s="157"/>
      <c r="O550" s="157"/>
      <c r="P550" s="157"/>
      <c r="Q550" s="157"/>
      <c r="R550" s="157"/>
      <c r="S550" s="157"/>
      <c r="T550" s="158"/>
      <c r="U550" s="168"/>
    </row>
    <row r="551" spans="1:21" ht="12.75" x14ac:dyDescent="0.2">
      <c r="A551" s="189" t="s">
        <v>171</v>
      </c>
      <c r="B551" s="170" t="s">
        <v>896</v>
      </c>
      <c r="C551" s="171">
        <v>1</v>
      </c>
      <c r="D551" s="187"/>
      <c r="E551" s="187"/>
      <c r="F551" s="183"/>
      <c r="G551" s="184" t="s">
        <v>705</v>
      </c>
      <c r="H551" s="151"/>
      <c r="I551" s="151"/>
      <c r="J551" s="151"/>
      <c r="K551" s="151"/>
      <c r="L551" s="156"/>
      <c r="M551" s="157"/>
      <c r="N551" s="157"/>
      <c r="O551" s="157"/>
      <c r="P551" s="157"/>
      <c r="Q551" s="157"/>
      <c r="R551" s="157"/>
      <c r="S551" s="157"/>
      <c r="T551" s="158"/>
      <c r="U551" s="168"/>
    </row>
    <row r="552" spans="1:21" ht="12.75" x14ac:dyDescent="0.2">
      <c r="A552" s="189" t="s">
        <v>172</v>
      </c>
      <c r="B552" s="170" t="s">
        <v>896</v>
      </c>
      <c r="C552" s="171">
        <v>1</v>
      </c>
      <c r="D552" s="187"/>
      <c r="E552" s="187"/>
      <c r="F552" s="183"/>
      <c r="G552" s="184" t="s">
        <v>705</v>
      </c>
      <c r="H552" s="151"/>
      <c r="I552" s="151"/>
      <c r="J552" s="151"/>
      <c r="K552" s="151"/>
      <c r="L552" s="156"/>
      <c r="M552" s="157"/>
      <c r="N552" s="157"/>
      <c r="O552" s="157"/>
      <c r="P552" s="157"/>
      <c r="Q552" s="157"/>
      <c r="R552" s="157"/>
      <c r="S552" s="157"/>
      <c r="T552" s="158"/>
      <c r="U552" s="168"/>
    </row>
    <row r="553" spans="1:21" ht="12.75" x14ac:dyDescent="0.2">
      <c r="A553" s="175" t="s">
        <v>173</v>
      </c>
      <c r="B553" s="170" t="s">
        <v>896</v>
      </c>
      <c r="C553" s="171">
        <v>1</v>
      </c>
      <c r="D553" s="187"/>
      <c r="E553" s="187"/>
      <c r="F553" s="183"/>
      <c r="G553" s="184" t="s">
        <v>705</v>
      </c>
      <c r="H553" s="151"/>
      <c r="I553" s="151"/>
      <c r="J553" s="151"/>
      <c r="K553" s="151"/>
      <c r="L553" s="156"/>
      <c r="M553" s="157"/>
      <c r="N553" s="157"/>
      <c r="O553" s="157"/>
      <c r="P553" s="157"/>
      <c r="Q553" s="157"/>
      <c r="R553" s="157"/>
      <c r="S553" s="157"/>
      <c r="T553" s="158"/>
      <c r="U553" s="168"/>
    </row>
    <row r="554" spans="1:21" ht="12.75" x14ac:dyDescent="0.2">
      <c r="A554" s="175" t="s">
        <v>174</v>
      </c>
      <c r="B554" s="170" t="s">
        <v>896</v>
      </c>
      <c r="C554" s="171">
        <v>1</v>
      </c>
      <c r="D554" s="187"/>
      <c r="E554" s="187"/>
      <c r="F554" s="183"/>
      <c r="G554" s="184" t="s">
        <v>705</v>
      </c>
      <c r="H554" s="151"/>
      <c r="I554" s="151"/>
      <c r="J554" s="151"/>
      <c r="K554" s="151"/>
      <c r="L554" s="156"/>
      <c r="M554" s="157"/>
      <c r="N554" s="157"/>
      <c r="O554" s="157"/>
      <c r="P554" s="157"/>
      <c r="Q554" s="157"/>
      <c r="R554" s="157"/>
      <c r="S554" s="157"/>
      <c r="T554" s="158"/>
      <c r="U554" s="168"/>
    </row>
    <row r="555" spans="1:21" ht="21" x14ac:dyDescent="0.2">
      <c r="A555" s="169" t="s">
        <v>580</v>
      </c>
      <c r="B555" s="170" t="s">
        <v>201</v>
      </c>
      <c r="C555" s="171">
        <v>1</v>
      </c>
      <c r="D555" s="187"/>
      <c r="E555" s="187"/>
      <c r="F555" s="183"/>
      <c r="G555" s="184" t="s">
        <v>704</v>
      </c>
      <c r="H555" s="151"/>
      <c r="I555" s="151"/>
      <c r="J555" s="151"/>
      <c r="K555" s="151"/>
      <c r="L555" s="156"/>
      <c r="M555" s="157"/>
      <c r="N555" s="157"/>
      <c r="O555" s="157"/>
      <c r="P555" s="157"/>
      <c r="Q555" s="157"/>
      <c r="R555" s="157"/>
      <c r="S555" s="157"/>
      <c r="T555" s="158"/>
      <c r="U555" s="168"/>
    </row>
    <row r="556" spans="1:21" ht="21" x14ac:dyDescent="0.2">
      <c r="A556" s="169" t="s">
        <v>175</v>
      </c>
      <c r="B556" s="170" t="s">
        <v>176</v>
      </c>
      <c r="C556" s="171">
        <v>1</v>
      </c>
      <c r="D556" s="187"/>
      <c r="E556" s="187"/>
      <c r="F556" s="183"/>
      <c r="G556" s="184" t="s">
        <v>705</v>
      </c>
      <c r="H556" s="151"/>
      <c r="I556" s="151"/>
      <c r="J556" s="151"/>
      <c r="K556" s="151"/>
      <c r="L556" s="156"/>
      <c r="M556" s="157"/>
      <c r="N556" s="157"/>
      <c r="O556" s="157"/>
      <c r="P556" s="157"/>
      <c r="Q556" s="157"/>
      <c r="R556" s="157"/>
      <c r="S556" s="157"/>
      <c r="T556" s="158"/>
      <c r="U556" s="168"/>
    </row>
    <row r="557" spans="1:21" ht="12.75" x14ac:dyDescent="0.2">
      <c r="A557" s="191" t="s">
        <v>199</v>
      </c>
      <c r="B557" s="170" t="s">
        <v>896</v>
      </c>
      <c r="C557" s="171">
        <v>1</v>
      </c>
      <c r="D557" s="187"/>
      <c r="E557" s="187"/>
      <c r="F557" s="183"/>
      <c r="G557" s="184" t="s">
        <v>705</v>
      </c>
      <c r="H557" s="151"/>
      <c r="I557" s="151"/>
      <c r="J557" s="151"/>
      <c r="K557" s="151"/>
      <c r="L557" s="156"/>
      <c r="M557" s="157"/>
      <c r="N557" s="157"/>
      <c r="O557" s="157"/>
      <c r="P557" s="157"/>
      <c r="Q557" s="157"/>
      <c r="R557" s="157"/>
      <c r="S557" s="157"/>
      <c r="T557" s="158"/>
      <c r="U557" s="168"/>
    </row>
    <row r="558" spans="1:21" ht="12.75" x14ac:dyDescent="0.2">
      <c r="A558" s="169" t="s">
        <v>446</v>
      </c>
      <c r="B558" s="170" t="s">
        <v>322</v>
      </c>
      <c r="C558" s="171"/>
      <c r="D558" s="187"/>
      <c r="E558" s="187"/>
      <c r="F558" s="183"/>
      <c r="G558" s="184"/>
      <c r="H558" s="151"/>
      <c r="I558" s="151"/>
      <c r="J558" s="151"/>
      <c r="K558" s="151"/>
      <c r="L558" s="156"/>
      <c r="M558" s="157"/>
      <c r="N558" s="157"/>
      <c r="O558" s="157"/>
      <c r="P558" s="157"/>
      <c r="Q558" s="157"/>
      <c r="R558" s="157"/>
      <c r="S558" s="157"/>
      <c r="T558" s="158"/>
      <c r="U558" s="168"/>
    </row>
    <row r="559" spans="1:21" ht="12.75" x14ac:dyDescent="0.2">
      <c r="A559" s="175" t="s">
        <v>581</v>
      </c>
      <c r="B559" s="170" t="s">
        <v>896</v>
      </c>
      <c r="C559" s="171">
        <v>1</v>
      </c>
      <c r="D559" s="187"/>
      <c r="E559" s="187"/>
      <c r="F559" s="183"/>
      <c r="G559" s="184" t="s">
        <v>705</v>
      </c>
      <c r="H559" s="151"/>
      <c r="I559" s="151"/>
      <c r="J559" s="151"/>
      <c r="K559" s="151"/>
      <c r="L559" s="156"/>
      <c r="M559" s="157"/>
      <c r="N559" s="157"/>
      <c r="O559" s="157"/>
      <c r="P559" s="157"/>
      <c r="Q559" s="157"/>
      <c r="R559" s="157"/>
      <c r="S559" s="157"/>
      <c r="T559" s="158"/>
      <c r="U559" s="168"/>
    </row>
    <row r="560" spans="1:21" ht="12.75" x14ac:dyDescent="0.2">
      <c r="A560" s="189" t="s">
        <v>177</v>
      </c>
      <c r="B560" s="170" t="s">
        <v>896</v>
      </c>
      <c r="C560" s="171">
        <v>1</v>
      </c>
      <c r="D560" s="187"/>
      <c r="E560" s="187"/>
      <c r="F560" s="183"/>
      <c r="G560" s="184" t="s">
        <v>705</v>
      </c>
      <c r="H560" s="151"/>
      <c r="I560" s="151"/>
      <c r="J560" s="151"/>
      <c r="K560" s="151"/>
      <c r="L560" s="156"/>
      <c r="M560" s="157"/>
      <c r="N560" s="157"/>
      <c r="O560" s="157"/>
      <c r="P560" s="157"/>
      <c r="Q560" s="157"/>
      <c r="R560" s="157"/>
      <c r="S560" s="157"/>
      <c r="T560" s="158"/>
      <c r="U560" s="168"/>
    </row>
    <row r="561" spans="1:21" ht="21" x14ac:dyDescent="0.2">
      <c r="A561" s="175" t="s">
        <v>582</v>
      </c>
      <c r="B561" s="170" t="s">
        <v>896</v>
      </c>
      <c r="C561" s="171">
        <v>1</v>
      </c>
      <c r="D561" s="187"/>
      <c r="E561" s="187"/>
      <c r="F561" s="183"/>
      <c r="G561" s="184" t="s">
        <v>705</v>
      </c>
      <c r="H561" s="151"/>
      <c r="I561" s="151"/>
      <c r="J561" s="151"/>
      <c r="K561" s="151"/>
      <c r="L561" s="156"/>
      <c r="M561" s="157"/>
      <c r="N561" s="157"/>
      <c r="O561" s="157"/>
      <c r="P561" s="157"/>
      <c r="Q561" s="157"/>
      <c r="R561" s="157"/>
      <c r="S561" s="157"/>
      <c r="T561" s="158"/>
      <c r="U561" s="168"/>
    </row>
    <row r="562" spans="1:21" ht="12.75" x14ac:dyDescent="0.2">
      <c r="A562" s="175" t="s">
        <v>200</v>
      </c>
      <c r="B562" s="170" t="s">
        <v>896</v>
      </c>
      <c r="C562" s="171">
        <v>1</v>
      </c>
      <c r="D562" s="187"/>
      <c r="E562" s="187"/>
      <c r="F562" s="183"/>
      <c r="G562" s="184" t="s">
        <v>705</v>
      </c>
      <c r="H562" s="151"/>
      <c r="I562" s="151"/>
      <c r="J562" s="151"/>
      <c r="K562" s="151"/>
      <c r="L562" s="156"/>
      <c r="M562" s="157"/>
      <c r="N562" s="157"/>
      <c r="O562" s="157"/>
      <c r="P562" s="157"/>
      <c r="Q562" s="157"/>
      <c r="R562" s="157"/>
      <c r="S562" s="157"/>
      <c r="T562" s="158"/>
      <c r="U562" s="168"/>
    </row>
    <row r="563" spans="1:21" ht="21" x14ac:dyDescent="0.2">
      <c r="A563" s="175" t="s">
        <v>583</v>
      </c>
      <c r="B563" s="170" t="s">
        <v>896</v>
      </c>
      <c r="C563" s="171">
        <v>1</v>
      </c>
      <c r="D563" s="188"/>
      <c r="E563" s="188"/>
      <c r="F563" s="183"/>
      <c r="G563" s="184" t="s">
        <v>705</v>
      </c>
      <c r="H563" s="151"/>
      <c r="I563" s="151"/>
      <c r="J563" s="151"/>
      <c r="K563" s="151"/>
      <c r="L563" s="156"/>
      <c r="M563" s="157"/>
      <c r="N563" s="157"/>
      <c r="O563" s="157"/>
      <c r="P563" s="157"/>
      <c r="Q563" s="157"/>
      <c r="R563" s="157"/>
      <c r="S563" s="157"/>
      <c r="T563" s="158"/>
      <c r="U563" s="168"/>
    </row>
    <row r="564" spans="1:21" ht="31.5" x14ac:dyDescent="0.2">
      <c r="A564" s="169" t="s">
        <v>562</v>
      </c>
      <c r="B564" s="170" t="s">
        <v>584</v>
      </c>
      <c r="C564" s="171">
        <v>1</v>
      </c>
      <c r="D564" s="243"/>
      <c r="E564" s="183"/>
      <c r="F564" s="183"/>
      <c r="G564" s="184" t="s">
        <v>705</v>
      </c>
      <c r="H564" s="151"/>
      <c r="I564" s="151"/>
      <c r="J564" s="151"/>
      <c r="K564" s="151"/>
      <c r="L564" s="156"/>
      <c r="M564" s="157"/>
      <c r="N564" s="157"/>
      <c r="O564" s="157"/>
      <c r="P564" s="157"/>
      <c r="Q564" s="157"/>
      <c r="R564" s="157"/>
      <c r="S564" s="157"/>
      <c r="T564" s="158"/>
      <c r="U564" s="168"/>
    </row>
    <row r="565" spans="1:21" ht="12.75" x14ac:dyDescent="0.2">
      <c r="A565" s="169" t="s">
        <v>668</v>
      </c>
      <c r="B565" s="170" t="s">
        <v>898</v>
      </c>
      <c r="C565" s="171">
        <v>1</v>
      </c>
      <c r="D565" s="183"/>
      <c r="E565" s="183"/>
      <c r="F565" s="183"/>
      <c r="G565" s="184" t="s">
        <v>704</v>
      </c>
      <c r="H565" s="151"/>
      <c r="I565" s="151"/>
      <c r="J565" s="151"/>
      <c r="K565" s="151"/>
      <c r="L565" s="156"/>
      <c r="M565" s="157"/>
      <c r="N565" s="157"/>
      <c r="O565" s="157"/>
      <c r="P565" s="157"/>
      <c r="Q565" s="157"/>
      <c r="R565" s="157"/>
      <c r="S565" s="157"/>
      <c r="T565" s="158"/>
      <c r="U565" s="168"/>
    </row>
    <row r="566" spans="1:21" ht="21" x14ac:dyDescent="0.2">
      <c r="A566" s="169" t="s">
        <v>178</v>
      </c>
      <c r="B566" s="170" t="s">
        <v>584</v>
      </c>
      <c r="C566" s="171">
        <v>1</v>
      </c>
      <c r="D566" s="183"/>
      <c r="E566" s="183"/>
      <c r="F566" s="183"/>
      <c r="G566" s="184" t="s">
        <v>705</v>
      </c>
      <c r="H566" s="151"/>
      <c r="I566" s="151"/>
      <c r="J566" s="151"/>
      <c r="K566" s="151"/>
      <c r="L566" s="156"/>
      <c r="M566" s="157"/>
      <c r="N566" s="157"/>
      <c r="O566" s="157"/>
      <c r="P566" s="157"/>
      <c r="Q566" s="157"/>
      <c r="R566" s="157"/>
      <c r="S566" s="157"/>
      <c r="T566" s="158"/>
      <c r="U566" s="168"/>
    </row>
    <row r="567" spans="1:21" ht="31.5" x14ac:dyDescent="0.2">
      <c r="A567" s="169" t="s">
        <v>585</v>
      </c>
      <c r="B567" s="170" t="s">
        <v>218</v>
      </c>
      <c r="C567" s="171">
        <v>1</v>
      </c>
      <c r="D567" s="183"/>
      <c r="E567" s="183"/>
      <c r="F567" s="183"/>
      <c r="G567" s="184" t="s">
        <v>705</v>
      </c>
      <c r="H567" s="151"/>
      <c r="I567" s="151"/>
      <c r="J567" s="151"/>
      <c r="K567" s="151"/>
      <c r="L567" s="156"/>
      <c r="M567" s="157"/>
      <c r="N567" s="157"/>
      <c r="O567" s="157"/>
      <c r="P567" s="157"/>
      <c r="Q567" s="157"/>
      <c r="R567" s="157"/>
      <c r="S567" s="157"/>
      <c r="T567" s="158"/>
      <c r="U567" s="168"/>
    </row>
    <row r="568" spans="1:21" ht="12.75" x14ac:dyDescent="0.2">
      <c r="A568" s="214"/>
      <c r="B568" s="214"/>
      <c r="C568" s="171"/>
      <c r="D568" s="236"/>
      <c r="E568" s="236"/>
      <c r="F568" s="236"/>
      <c r="G568" s="184"/>
      <c r="H568" s="151"/>
      <c r="I568" s="151"/>
      <c r="J568" s="151"/>
      <c r="K568" s="151"/>
      <c r="L568" s="156"/>
      <c r="M568" s="157"/>
      <c r="N568" s="157"/>
      <c r="O568" s="157"/>
      <c r="P568" s="157"/>
      <c r="Q568" s="157"/>
      <c r="R568" s="157"/>
      <c r="S568" s="157"/>
      <c r="T568" s="158"/>
      <c r="U568" s="168"/>
    </row>
    <row r="569" spans="1:21" ht="14.25" x14ac:dyDescent="0.2">
      <c r="A569" s="217" t="s">
        <v>179</v>
      </c>
      <c r="B569" s="186"/>
      <c r="C569" s="171"/>
      <c r="D569" s="183"/>
      <c r="E569" s="183"/>
      <c r="F569" s="183"/>
      <c r="G569" s="184"/>
      <c r="H569" s="151"/>
      <c r="I569" s="151"/>
      <c r="J569" s="151"/>
      <c r="K569" s="151"/>
      <c r="L569" s="156"/>
      <c r="M569" s="157"/>
      <c r="N569" s="157"/>
      <c r="O569" s="157"/>
      <c r="P569" s="157"/>
      <c r="Q569" s="157"/>
      <c r="R569" s="157"/>
      <c r="S569" s="157"/>
      <c r="T569" s="158"/>
      <c r="U569" s="168"/>
    </row>
    <row r="570" spans="1:21" ht="12.75" x14ac:dyDescent="0.2">
      <c r="A570" s="169" t="s">
        <v>576</v>
      </c>
      <c r="B570" s="170" t="s">
        <v>837</v>
      </c>
      <c r="C570" s="171">
        <v>1</v>
      </c>
      <c r="D570" s="181"/>
      <c r="E570" s="181"/>
      <c r="F570" s="181"/>
      <c r="G570" s="184" t="s">
        <v>705</v>
      </c>
      <c r="H570" s="151"/>
      <c r="I570" s="151"/>
      <c r="J570" s="151"/>
      <c r="K570" s="151"/>
      <c r="L570" s="156"/>
      <c r="M570" s="157"/>
      <c r="N570" s="157"/>
      <c r="O570" s="157"/>
      <c r="P570" s="157"/>
      <c r="Q570" s="157"/>
      <c r="R570" s="157"/>
      <c r="S570" s="157"/>
      <c r="T570" s="158"/>
      <c r="U570" s="168"/>
    </row>
    <row r="571" spans="1:21" ht="21" x14ac:dyDescent="0.2">
      <c r="A571" s="191" t="s">
        <v>202</v>
      </c>
      <c r="B571" s="170" t="s">
        <v>837</v>
      </c>
      <c r="C571" s="171">
        <v>1</v>
      </c>
      <c r="D571" s="187"/>
      <c r="E571" s="187"/>
      <c r="F571" s="187"/>
      <c r="G571" s="184" t="s">
        <v>705</v>
      </c>
      <c r="H571" s="151"/>
      <c r="I571" s="151"/>
      <c r="J571" s="151"/>
      <c r="K571" s="151"/>
      <c r="L571" s="156"/>
      <c r="M571" s="157"/>
      <c r="N571" s="157"/>
      <c r="O571" s="157"/>
      <c r="P571" s="157"/>
      <c r="Q571" s="157"/>
      <c r="R571" s="157"/>
      <c r="S571" s="157"/>
      <c r="T571" s="158"/>
      <c r="U571" s="168"/>
    </row>
    <row r="572" spans="1:21" ht="21" x14ac:dyDescent="0.2">
      <c r="A572" s="169" t="s">
        <v>182</v>
      </c>
      <c r="B572" s="170" t="s">
        <v>322</v>
      </c>
      <c r="C572" s="171"/>
      <c r="D572" s="187"/>
      <c r="E572" s="187"/>
      <c r="F572" s="187"/>
      <c r="G572" s="184"/>
      <c r="H572" s="151"/>
      <c r="I572" s="151"/>
      <c r="J572" s="151"/>
      <c r="K572" s="151"/>
      <c r="L572" s="156"/>
      <c r="M572" s="157"/>
      <c r="N572" s="157"/>
      <c r="O572" s="157"/>
      <c r="P572" s="157"/>
      <c r="Q572" s="157"/>
      <c r="R572" s="157"/>
      <c r="S572" s="157"/>
      <c r="T572" s="158"/>
      <c r="U572" s="168"/>
    </row>
    <row r="573" spans="1:21" ht="31.5" x14ac:dyDescent="0.2">
      <c r="A573" s="175" t="s">
        <v>203</v>
      </c>
      <c r="B573" s="170" t="s">
        <v>837</v>
      </c>
      <c r="C573" s="171">
        <v>1</v>
      </c>
      <c r="D573" s="187"/>
      <c r="E573" s="187"/>
      <c r="F573" s="187"/>
      <c r="G573" s="184" t="s">
        <v>705</v>
      </c>
      <c r="H573" s="151"/>
      <c r="I573" s="151"/>
      <c r="J573" s="151"/>
      <c r="K573" s="151"/>
      <c r="L573" s="156"/>
      <c r="M573" s="157"/>
      <c r="N573" s="157"/>
      <c r="O573" s="157"/>
      <c r="P573" s="157"/>
      <c r="Q573" s="157"/>
      <c r="R573" s="157"/>
      <c r="S573" s="157"/>
      <c r="T573" s="158"/>
      <c r="U573" s="168"/>
    </row>
    <row r="574" spans="1:21" ht="12.75" x14ac:dyDescent="0.2">
      <c r="A574" s="175" t="s">
        <v>204</v>
      </c>
      <c r="B574" s="170" t="s">
        <v>837</v>
      </c>
      <c r="C574" s="171">
        <v>1</v>
      </c>
      <c r="D574" s="187"/>
      <c r="E574" s="187"/>
      <c r="F574" s="187"/>
      <c r="G574" s="184" t="s">
        <v>705</v>
      </c>
      <c r="H574" s="151"/>
      <c r="I574" s="151"/>
      <c r="J574" s="151"/>
      <c r="K574" s="151"/>
      <c r="L574" s="156"/>
      <c r="M574" s="157"/>
      <c r="N574" s="157"/>
      <c r="O574" s="157"/>
      <c r="P574" s="157"/>
      <c r="Q574" s="157"/>
      <c r="R574" s="157"/>
      <c r="S574" s="157"/>
      <c r="T574" s="158"/>
      <c r="U574" s="168"/>
    </row>
    <row r="575" spans="1:21" ht="21" x14ac:dyDescent="0.2">
      <c r="A575" s="175" t="s">
        <v>205</v>
      </c>
      <c r="B575" s="170" t="s">
        <v>837</v>
      </c>
      <c r="C575" s="171">
        <v>1</v>
      </c>
      <c r="D575" s="187"/>
      <c r="E575" s="187"/>
      <c r="F575" s="187"/>
      <c r="G575" s="184" t="s">
        <v>705</v>
      </c>
      <c r="H575" s="151"/>
      <c r="I575" s="151"/>
      <c r="J575" s="151"/>
      <c r="K575" s="151"/>
      <c r="L575" s="156"/>
      <c r="M575" s="157"/>
      <c r="N575" s="157"/>
      <c r="O575" s="157"/>
      <c r="P575" s="157"/>
      <c r="Q575" s="157"/>
      <c r="R575" s="157"/>
      <c r="S575" s="157"/>
      <c r="T575" s="158"/>
      <c r="U575" s="168"/>
    </row>
    <row r="576" spans="1:21" ht="12.75" x14ac:dyDescent="0.2">
      <c r="A576" s="175" t="s">
        <v>206</v>
      </c>
      <c r="B576" s="170" t="s">
        <v>837</v>
      </c>
      <c r="C576" s="171">
        <v>1</v>
      </c>
      <c r="D576" s="187"/>
      <c r="E576" s="187"/>
      <c r="F576" s="187"/>
      <c r="G576" s="184" t="s">
        <v>705</v>
      </c>
      <c r="H576" s="151"/>
      <c r="I576" s="151"/>
      <c r="J576" s="151"/>
      <c r="K576" s="151"/>
      <c r="L576" s="156"/>
      <c r="M576" s="157"/>
      <c r="N576" s="157"/>
      <c r="O576" s="157"/>
      <c r="P576" s="157"/>
      <c r="Q576" s="157"/>
      <c r="R576" s="157"/>
      <c r="S576" s="157"/>
      <c r="T576" s="158"/>
      <c r="U576" s="168"/>
    </row>
    <row r="577" spans="1:21" ht="12.75" x14ac:dyDescent="0.2">
      <c r="A577" s="175" t="s">
        <v>207</v>
      </c>
      <c r="B577" s="170" t="s">
        <v>837</v>
      </c>
      <c r="C577" s="171">
        <v>1</v>
      </c>
      <c r="D577" s="187"/>
      <c r="E577" s="187"/>
      <c r="F577" s="187"/>
      <c r="G577" s="184" t="s">
        <v>705</v>
      </c>
      <c r="H577" s="151"/>
      <c r="I577" s="151"/>
      <c r="J577" s="151"/>
      <c r="K577" s="151"/>
      <c r="L577" s="156"/>
      <c r="M577" s="157"/>
      <c r="N577" s="157"/>
      <c r="O577" s="157"/>
      <c r="P577" s="157"/>
      <c r="Q577" s="157"/>
      <c r="R577" s="157"/>
      <c r="S577" s="157"/>
      <c r="T577" s="158"/>
      <c r="U577" s="168"/>
    </row>
    <row r="578" spans="1:21" ht="12.75" x14ac:dyDescent="0.2">
      <c r="A578" s="175" t="s">
        <v>219</v>
      </c>
      <c r="B578" s="170" t="s">
        <v>322</v>
      </c>
      <c r="C578" s="171">
        <v>1</v>
      </c>
      <c r="D578" s="187"/>
      <c r="E578" s="187"/>
      <c r="F578" s="187"/>
      <c r="G578" s="184" t="s">
        <v>705</v>
      </c>
      <c r="H578" s="151"/>
      <c r="I578" s="151"/>
      <c r="J578" s="151"/>
      <c r="K578" s="151"/>
      <c r="L578" s="156"/>
      <c r="M578" s="157"/>
      <c r="N578" s="157"/>
      <c r="O578" s="157"/>
      <c r="P578" s="157"/>
      <c r="Q578" s="157"/>
      <c r="R578" s="157"/>
      <c r="S578" s="157"/>
      <c r="T578" s="158"/>
      <c r="U578" s="168"/>
    </row>
    <row r="579" spans="1:21" ht="21" x14ac:dyDescent="0.2">
      <c r="A579" s="189" t="s">
        <v>220</v>
      </c>
      <c r="B579" s="170" t="s">
        <v>837</v>
      </c>
      <c r="C579" s="171">
        <v>1</v>
      </c>
      <c r="D579" s="187"/>
      <c r="E579" s="187"/>
      <c r="F579" s="187"/>
      <c r="G579" s="184" t="s">
        <v>705</v>
      </c>
      <c r="H579" s="151"/>
      <c r="I579" s="151"/>
      <c r="J579" s="151"/>
      <c r="K579" s="151"/>
      <c r="L579" s="156"/>
      <c r="M579" s="157"/>
      <c r="N579" s="157"/>
      <c r="O579" s="157"/>
      <c r="P579" s="157"/>
      <c r="Q579" s="157"/>
      <c r="R579" s="157"/>
      <c r="S579" s="157"/>
      <c r="T579" s="158"/>
      <c r="U579" s="168"/>
    </row>
    <row r="580" spans="1:21" ht="12.75" x14ac:dyDescent="0.2">
      <c r="A580" s="189" t="s">
        <v>221</v>
      </c>
      <c r="B580" s="170" t="s">
        <v>837</v>
      </c>
      <c r="C580" s="171">
        <v>1</v>
      </c>
      <c r="D580" s="187"/>
      <c r="E580" s="187"/>
      <c r="F580" s="187"/>
      <c r="G580" s="184" t="s">
        <v>705</v>
      </c>
      <c r="H580" s="151"/>
      <c r="I580" s="151"/>
      <c r="J580" s="151"/>
      <c r="K580" s="151"/>
      <c r="L580" s="156"/>
      <c r="M580" s="157"/>
      <c r="N580" s="157"/>
      <c r="O580" s="157"/>
      <c r="P580" s="157"/>
      <c r="Q580" s="157"/>
      <c r="R580" s="157"/>
      <c r="S580" s="157"/>
      <c r="T580" s="158"/>
      <c r="U580" s="168"/>
    </row>
    <row r="581" spans="1:21" ht="52.5" x14ac:dyDescent="0.2">
      <c r="A581" s="189" t="s">
        <v>226</v>
      </c>
      <c r="B581" s="170" t="s">
        <v>837</v>
      </c>
      <c r="C581" s="171">
        <v>1</v>
      </c>
      <c r="D581" s="187"/>
      <c r="E581" s="187"/>
      <c r="F581" s="187"/>
      <c r="G581" s="184" t="s">
        <v>705</v>
      </c>
      <c r="H581" s="151"/>
      <c r="I581" s="151"/>
      <c r="J581" s="151"/>
      <c r="K581" s="151"/>
      <c r="L581" s="156"/>
      <c r="M581" s="157"/>
      <c r="N581" s="157"/>
      <c r="O581" s="157"/>
      <c r="P581" s="157"/>
      <c r="Q581" s="157"/>
      <c r="R581" s="157"/>
      <c r="S581" s="157"/>
      <c r="T581" s="158"/>
      <c r="U581" s="168"/>
    </row>
    <row r="582" spans="1:21" ht="21" x14ac:dyDescent="0.2">
      <c r="A582" s="169" t="s">
        <v>222</v>
      </c>
      <c r="B582" s="170" t="s">
        <v>837</v>
      </c>
      <c r="C582" s="171">
        <v>1</v>
      </c>
      <c r="D582" s="187"/>
      <c r="E582" s="187"/>
      <c r="F582" s="187"/>
      <c r="G582" s="184" t="s">
        <v>705</v>
      </c>
      <c r="H582" s="151"/>
      <c r="I582" s="151"/>
      <c r="J582" s="151"/>
      <c r="K582" s="151"/>
      <c r="L582" s="156"/>
      <c r="M582" s="157"/>
      <c r="N582" s="157"/>
      <c r="O582" s="157"/>
      <c r="P582" s="157"/>
      <c r="Q582" s="157"/>
      <c r="R582" s="157"/>
      <c r="S582" s="157"/>
      <c r="T582" s="158"/>
      <c r="U582" s="168"/>
    </row>
    <row r="583" spans="1:21" ht="31.5" x14ac:dyDescent="0.2">
      <c r="A583" s="169" t="s">
        <v>563</v>
      </c>
      <c r="B583" s="170" t="s">
        <v>837</v>
      </c>
      <c r="C583" s="171">
        <v>1</v>
      </c>
      <c r="D583" s="188"/>
      <c r="E583" s="188"/>
      <c r="F583" s="188"/>
      <c r="G583" s="184" t="s">
        <v>705</v>
      </c>
      <c r="H583" s="151"/>
      <c r="I583" s="151"/>
      <c r="J583" s="151"/>
      <c r="K583" s="151"/>
      <c r="L583" s="156"/>
      <c r="M583" s="157"/>
      <c r="N583" s="157"/>
      <c r="O583" s="157"/>
      <c r="P583" s="157"/>
      <c r="Q583" s="157"/>
      <c r="R583" s="157"/>
      <c r="S583" s="157"/>
      <c r="T583" s="158"/>
      <c r="U583" s="168"/>
    </row>
    <row r="584" spans="1:21" ht="12.75" x14ac:dyDescent="0.2">
      <c r="A584" s="169" t="s">
        <v>666</v>
      </c>
      <c r="B584" s="170" t="s">
        <v>469</v>
      </c>
      <c r="C584" s="171">
        <v>1</v>
      </c>
      <c r="D584" s="183"/>
      <c r="E584" s="183"/>
      <c r="F584" s="183"/>
      <c r="G584" s="184" t="s">
        <v>705</v>
      </c>
      <c r="H584" s="151"/>
      <c r="I584" s="151"/>
      <c r="J584" s="151"/>
      <c r="K584" s="151"/>
      <c r="L584" s="156"/>
      <c r="M584" s="157"/>
      <c r="N584" s="157"/>
      <c r="O584" s="157"/>
      <c r="P584" s="157"/>
      <c r="Q584" s="157"/>
      <c r="R584" s="157"/>
      <c r="S584" s="157"/>
      <c r="T584" s="158"/>
      <c r="U584" s="168"/>
    </row>
    <row r="585" spans="1:21" ht="12.75" x14ac:dyDescent="0.2">
      <c r="A585" s="169" t="s">
        <v>667</v>
      </c>
      <c r="B585" s="170" t="s">
        <v>469</v>
      </c>
      <c r="C585" s="171">
        <v>1</v>
      </c>
      <c r="D585" s="183"/>
      <c r="E585" s="183"/>
      <c r="F585" s="183"/>
      <c r="G585" s="184" t="s">
        <v>705</v>
      </c>
      <c r="H585" s="151"/>
      <c r="I585" s="151"/>
      <c r="J585" s="151"/>
      <c r="K585" s="151"/>
      <c r="L585" s="156"/>
      <c r="M585" s="157"/>
      <c r="N585" s="157"/>
      <c r="O585" s="157"/>
      <c r="P585" s="157"/>
      <c r="Q585" s="157"/>
      <c r="R585" s="157"/>
      <c r="S585" s="157"/>
      <c r="T585" s="158"/>
      <c r="U585" s="168"/>
    </row>
    <row r="586" spans="1:21" ht="21" x14ac:dyDescent="0.2">
      <c r="A586" s="169" t="s">
        <v>577</v>
      </c>
      <c r="B586" s="170" t="s">
        <v>837</v>
      </c>
      <c r="C586" s="171">
        <v>1</v>
      </c>
      <c r="D586" s="183"/>
      <c r="E586" s="183"/>
      <c r="F586" s="244"/>
      <c r="G586" s="184" t="s">
        <v>705</v>
      </c>
      <c r="H586" s="151"/>
      <c r="I586" s="151"/>
      <c r="J586" s="151"/>
      <c r="K586" s="151"/>
      <c r="L586" s="156"/>
      <c r="M586" s="157"/>
      <c r="N586" s="157"/>
      <c r="O586" s="157"/>
      <c r="P586" s="157"/>
      <c r="Q586" s="157"/>
      <c r="R586" s="157"/>
      <c r="S586" s="157"/>
      <c r="T586" s="158"/>
      <c r="U586" s="168"/>
    </row>
    <row r="587" spans="1:21" ht="21" x14ac:dyDescent="0.2">
      <c r="A587" s="169" t="s">
        <v>208</v>
      </c>
      <c r="B587" s="170" t="s">
        <v>837</v>
      </c>
      <c r="C587" s="171">
        <v>1</v>
      </c>
      <c r="D587" s="183"/>
      <c r="E587" s="243"/>
      <c r="F587" s="244"/>
      <c r="G587" s="184" t="s">
        <v>705</v>
      </c>
      <c r="H587" s="151"/>
      <c r="I587" s="151"/>
      <c r="J587" s="151"/>
      <c r="K587" s="151"/>
      <c r="L587" s="156"/>
      <c r="M587" s="157"/>
      <c r="N587" s="157"/>
      <c r="O587" s="157"/>
      <c r="P587" s="157"/>
      <c r="Q587" s="157"/>
      <c r="R587" s="157"/>
      <c r="S587" s="157"/>
      <c r="T587" s="158"/>
      <c r="U587" s="168"/>
    </row>
    <row r="588" spans="1:21" ht="42" x14ac:dyDescent="0.2">
      <c r="A588" s="169" t="s">
        <v>227</v>
      </c>
      <c r="B588" s="170" t="s">
        <v>483</v>
      </c>
      <c r="C588" s="171">
        <v>1</v>
      </c>
      <c r="D588" s="183"/>
      <c r="E588" s="183"/>
      <c r="F588" s="183"/>
      <c r="G588" s="184" t="s">
        <v>705</v>
      </c>
      <c r="H588" s="151"/>
      <c r="I588" s="151"/>
      <c r="J588" s="151"/>
      <c r="K588" s="151"/>
      <c r="L588" s="156"/>
      <c r="M588" s="157"/>
      <c r="N588" s="157"/>
      <c r="O588" s="157"/>
      <c r="P588" s="157"/>
      <c r="Q588" s="157"/>
      <c r="R588" s="157"/>
      <c r="S588" s="157"/>
      <c r="T588" s="158"/>
      <c r="U588" s="168"/>
    </row>
    <row r="589" spans="1:21" ht="21" x14ac:dyDescent="0.2">
      <c r="A589" s="169" t="s">
        <v>228</v>
      </c>
      <c r="B589" s="170" t="s">
        <v>837</v>
      </c>
      <c r="C589" s="171">
        <v>1</v>
      </c>
      <c r="D589" s="245"/>
      <c r="E589" s="181"/>
      <c r="F589" s="181"/>
      <c r="G589" s="184" t="s">
        <v>705</v>
      </c>
      <c r="H589" s="151"/>
      <c r="I589" s="151"/>
      <c r="J589" s="151"/>
      <c r="K589" s="151"/>
      <c r="L589" s="156"/>
      <c r="M589" s="157"/>
      <c r="N589" s="157"/>
      <c r="O589" s="157"/>
      <c r="P589" s="157"/>
      <c r="Q589" s="157"/>
      <c r="R589" s="157"/>
      <c r="S589" s="157"/>
      <c r="T589" s="158"/>
      <c r="U589" s="168"/>
    </row>
    <row r="590" spans="1:21" ht="21" x14ac:dyDescent="0.2">
      <c r="A590" s="169" t="s">
        <v>14</v>
      </c>
      <c r="B590" s="170" t="s">
        <v>578</v>
      </c>
      <c r="C590" s="171">
        <v>1</v>
      </c>
      <c r="D590" s="246"/>
      <c r="E590" s="187"/>
      <c r="F590" s="187"/>
      <c r="G590" s="184" t="s">
        <v>705</v>
      </c>
      <c r="H590" s="151"/>
      <c r="I590" s="151"/>
      <c r="J590" s="151"/>
      <c r="K590" s="151"/>
      <c r="L590" s="156"/>
      <c r="M590" s="157"/>
      <c r="N590" s="157"/>
      <c r="O590" s="157"/>
      <c r="P590" s="157"/>
      <c r="Q590" s="157"/>
      <c r="R590" s="157"/>
      <c r="S590" s="157"/>
      <c r="T590" s="158"/>
      <c r="U590" s="168"/>
    </row>
    <row r="591" spans="1:21" ht="12.75" x14ac:dyDescent="0.2">
      <c r="A591" s="169" t="s">
        <v>326</v>
      </c>
      <c r="B591" s="170" t="s">
        <v>578</v>
      </c>
      <c r="C591" s="171">
        <v>1</v>
      </c>
      <c r="D591" s="246"/>
      <c r="E591" s="188"/>
      <c r="F591" s="188"/>
      <c r="G591" s="184" t="s">
        <v>705</v>
      </c>
      <c r="H591" s="151"/>
      <c r="I591" s="151"/>
      <c r="J591" s="151"/>
      <c r="K591" s="151"/>
      <c r="L591" s="156"/>
      <c r="M591" s="157"/>
      <c r="N591" s="157"/>
      <c r="O591" s="157"/>
      <c r="P591" s="157"/>
      <c r="Q591" s="157"/>
      <c r="R591" s="157"/>
      <c r="S591" s="157"/>
      <c r="T591" s="158"/>
      <c r="U591" s="168"/>
    </row>
    <row r="592" spans="1:21" ht="31.5" x14ac:dyDescent="0.2">
      <c r="A592" s="169" t="s">
        <v>209</v>
      </c>
      <c r="B592" s="170" t="s">
        <v>469</v>
      </c>
      <c r="C592" s="171">
        <v>1</v>
      </c>
      <c r="D592" s="183"/>
      <c r="E592" s="188"/>
      <c r="F592" s="183"/>
      <c r="G592" s="184" t="s">
        <v>705</v>
      </c>
      <c r="H592" s="151"/>
      <c r="I592" s="151"/>
      <c r="J592" s="151"/>
      <c r="K592" s="151"/>
      <c r="L592" s="156"/>
      <c r="M592" s="157"/>
      <c r="N592" s="157"/>
      <c r="O592" s="157"/>
      <c r="P592" s="157"/>
      <c r="Q592" s="157"/>
      <c r="R592" s="157"/>
      <c r="S592" s="157"/>
      <c r="T592" s="158"/>
      <c r="U592" s="168"/>
    </row>
    <row r="593" spans="1:21" ht="12.75" x14ac:dyDescent="0.2">
      <c r="A593" s="175"/>
      <c r="B593" s="170"/>
      <c r="C593" s="171"/>
      <c r="D593" s="183"/>
      <c r="E593" s="183"/>
      <c r="F593" s="183"/>
      <c r="G593" s="184"/>
      <c r="H593" s="151"/>
      <c r="I593" s="151"/>
      <c r="J593" s="151"/>
      <c r="K593" s="151"/>
      <c r="L593" s="156"/>
      <c r="M593" s="157"/>
      <c r="N593" s="157"/>
      <c r="O593" s="157"/>
      <c r="P593" s="157"/>
      <c r="Q593" s="157"/>
      <c r="R593" s="157"/>
      <c r="S593" s="157"/>
      <c r="T593" s="158"/>
      <c r="U593" s="168"/>
    </row>
    <row r="594" spans="1:21" ht="14.25" x14ac:dyDescent="0.2">
      <c r="A594" s="217" t="s">
        <v>229</v>
      </c>
      <c r="B594" s="186"/>
      <c r="C594" s="171"/>
      <c r="D594" s="183"/>
      <c r="E594" s="183"/>
      <c r="F594" s="183"/>
      <c r="G594" s="184"/>
      <c r="H594" s="151"/>
      <c r="I594" s="151"/>
      <c r="J594" s="151"/>
      <c r="K594" s="151"/>
      <c r="L594" s="156"/>
      <c r="M594" s="157"/>
      <c r="N594" s="157"/>
      <c r="O594" s="157"/>
      <c r="P594" s="157"/>
      <c r="Q594" s="157"/>
      <c r="R594" s="157"/>
      <c r="S594" s="157"/>
      <c r="T594" s="158"/>
      <c r="U594" s="168"/>
    </row>
    <row r="595" spans="1:21" ht="21" x14ac:dyDescent="0.2">
      <c r="A595" s="169" t="s">
        <v>230</v>
      </c>
      <c r="B595" s="170" t="s">
        <v>466</v>
      </c>
      <c r="C595" s="171">
        <v>1</v>
      </c>
      <c r="D595" s="172"/>
      <c r="E595" s="172"/>
      <c r="F595" s="172"/>
      <c r="G595" s="184" t="s">
        <v>705</v>
      </c>
      <c r="H595" s="151"/>
      <c r="I595" s="151"/>
      <c r="J595" s="151"/>
      <c r="K595" s="151"/>
      <c r="L595" s="156"/>
      <c r="M595" s="157"/>
      <c r="N595" s="157"/>
      <c r="O595" s="157"/>
      <c r="P595" s="157"/>
      <c r="Q595" s="157"/>
      <c r="R595" s="157"/>
      <c r="S595" s="157"/>
      <c r="T595" s="158"/>
      <c r="U595" s="168"/>
    </row>
    <row r="596" spans="1:21" ht="12.75" x14ac:dyDescent="0.2">
      <c r="A596" s="191" t="s">
        <v>588</v>
      </c>
      <c r="B596" s="170"/>
      <c r="C596" s="171"/>
      <c r="D596" s="183"/>
      <c r="E596" s="183"/>
      <c r="F596" s="183"/>
      <c r="G596" s="184"/>
      <c r="H596" s="151"/>
      <c r="I596" s="151"/>
      <c r="J596" s="151"/>
      <c r="K596" s="151"/>
      <c r="L596" s="156"/>
      <c r="M596" s="157"/>
      <c r="N596" s="157"/>
      <c r="O596" s="157"/>
      <c r="P596" s="157"/>
      <c r="Q596" s="157"/>
      <c r="R596" s="157"/>
      <c r="S596" s="157"/>
      <c r="T596" s="158"/>
      <c r="U596" s="168"/>
    </row>
    <row r="597" spans="1:21" ht="12.75" x14ac:dyDescent="0.2">
      <c r="A597" s="175" t="s">
        <v>589</v>
      </c>
      <c r="B597" s="170" t="s">
        <v>483</v>
      </c>
      <c r="C597" s="171">
        <v>1</v>
      </c>
      <c r="D597" s="183"/>
      <c r="E597" s="183"/>
      <c r="F597" s="183"/>
      <c r="G597" s="184" t="s">
        <v>705</v>
      </c>
      <c r="H597" s="151"/>
      <c r="I597" s="151"/>
      <c r="J597" s="151"/>
      <c r="K597" s="151"/>
      <c r="L597" s="156"/>
      <c r="M597" s="157"/>
      <c r="N597" s="157"/>
      <c r="O597" s="157"/>
      <c r="P597" s="157"/>
      <c r="Q597" s="157"/>
      <c r="R597" s="157"/>
      <c r="S597" s="157"/>
      <c r="T597" s="158"/>
      <c r="U597" s="168"/>
    </row>
    <row r="598" spans="1:21" ht="12.75" x14ac:dyDescent="0.2">
      <c r="A598" s="175" t="s">
        <v>590</v>
      </c>
      <c r="B598" s="170" t="s">
        <v>466</v>
      </c>
      <c r="C598" s="171">
        <v>1</v>
      </c>
      <c r="D598" s="183"/>
      <c r="E598" s="243"/>
      <c r="F598" s="183"/>
      <c r="G598" s="184" t="s">
        <v>705</v>
      </c>
      <c r="H598" s="151"/>
      <c r="I598" s="151"/>
      <c r="J598" s="151"/>
      <c r="K598" s="151"/>
      <c r="L598" s="156"/>
      <c r="M598" s="157"/>
      <c r="N598" s="157"/>
      <c r="O598" s="157"/>
      <c r="P598" s="157"/>
      <c r="Q598" s="157"/>
      <c r="R598" s="157"/>
      <c r="S598" s="157"/>
      <c r="T598" s="158"/>
      <c r="U598" s="168"/>
    </row>
    <row r="599" spans="1:21" ht="12.75" x14ac:dyDescent="0.2">
      <c r="A599" s="175" t="s">
        <v>591</v>
      </c>
      <c r="B599" s="170" t="s">
        <v>466</v>
      </c>
      <c r="C599" s="171">
        <v>1</v>
      </c>
      <c r="D599" s="183"/>
      <c r="E599" s="183"/>
      <c r="F599" s="181"/>
      <c r="G599" s="184" t="s">
        <v>705</v>
      </c>
      <c r="H599" s="151"/>
      <c r="I599" s="151"/>
      <c r="J599" s="151"/>
      <c r="K599" s="151"/>
      <c r="L599" s="156"/>
      <c r="M599" s="157"/>
      <c r="N599" s="157"/>
      <c r="O599" s="157"/>
      <c r="P599" s="157"/>
      <c r="Q599" s="157"/>
      <c r="R599" s="157"/>
      <c r="S599" s="157"/>
      <c r="T599" s="158"/>
      <c r="U599" s="168"/>
    </row>
    <row r="600" spans="1:21" ht="12.75" x14ac:dyDescent="0.2">
      <c r="A600" s="175" t="s">
        <v>592</v>
      </c>
      <c r="B600" s="170" t="s">
        <v>466</v>
      </c>
      <c r="C600" s="171">
        <v>1</v>
      </c>
      <c r="D600" s="183"/>
      <c r="E600" s="183"/>
      <c r="F600" s="187"/>
      <c r="G600" s="184" t="s">
        <v>705</v>
      </c>
      <c r="H600" s="151"/>
      <c r="I600" s="151"/>
      <c r="J600" s="151"/>
      <c r="K600" s="151"/>
      <c r="L600" s="156"/>
      <c r="M600" s="157"/>
      <c r="N600" s="157"/>
      <c r="O600" s="157"/>
      <c r="P600" s="157"/>
      <c r="Q600" s="157"/>
      <c r="R600" s="157"/>
      <c r="S600" s="157"/>
      <c r="T600" s="158"/>
      <c r="U600" s="168"/>
    </row>
    <row r="601" spans="1:21" ht="12.75" x14ac:dyDescent="0.2">
      <c r="A601" s="191" t="s">
        <v>210</v>
      </c>
      <c r="B601" s="170" t="s">
        <v>322</v>
      </c>
      <c r="C601" s="171"/>
      <c r="D601" s="183"/>
      <c r="E601" s="183"/>
      <c r="F601" s="187"/>
      <c r="G601" s="184"/>
      <c r="H601" s="151"/>
      <c r="I601" s="151"/>
      <c r="J601" s="151"/>
      <c r="K601" s="151"/>
      <c r="L601" s="156"/>
      <c r="M601" s="157"/>
      <c r="N601" s="157"/>
      <c r="O601" s="157"/>
      <c r="P601" s="157"/>
      <c r="Q601" s="157"/>
      <c r="R601" s="157"/>
      <c r="S601" s="157"/>
      <c r="T601" s="158"/>
      <c r="U601" s="168"/>
    </row>
    <row r="602" spans="1:21" ht="12.75" x14ac:dyDescent="0.2">
      <c r="A602" s="175" t="s">
        <v>211</v>
      </c>
      <c r="B602" s="170" t="s">
        <v>483</v>
      </c>
      <c r="C602" s="171">
        <v>1</v>
      </c>
      <c r="D602" s="183"/>
      <c r="E602" s="183"/>
      <c r="F602" s="187"/>
      <c r="G602" s="184" t="s">
        <v>705</v>
      </c>
      <c r="H602" s="151"/>
      <c r="I602" s="151"/>
      <c r="J602" s="151"/>
      <c r="K602" s="151"/>
      <c r="L602" s="156"/>
      <c r="M602" s="157"/>
      <c r="N602" s="157"/>
      <c r="O602" s="157"/>
      <c r="P602" s="157"/>
      <c r="Q602" s="157"/>
      <c r="R602" s="157"/>
      <c r="S602" s="157"/>
      <c r="T602" s="158"/>
      <c r="U602" s="168"/>
    </row>
    <row r="603" spans="1:21" ht="12.75" x14ac:dyDescent="0.2">
      <c r="A603" s="175" t="s">
        <v>212</v>
      </c>
      <c r="B603" s="170" t="s">
        <v>483</v>
      </c>
      <c r="C603" s="171">
        <v>1</v>
      </c>
      <c r="D603" s="183"/>
      <c r="E603" s="183"/>
      <c r="F603" s="188"/>
      <c r="G603" s="184" t="s">
        <v>705</v>
      </c>
      <c r="H603" s="151"/>
      <c r="I603" s="151"/>
      <c r="J603" s="151"/>
      <c r="K603" s="151"/>
      <c r="L603" s="156"/>
      <c r="M603" s="157"/>
      <c r="N603" s="157"/>
      <c r="O603" s="157"/>
      <c r="P603" s="157"/>
      <c r="Q603" s="157"/>
      <c r="R603" s="157"/>
      <c r="S603" s="157"/>
      <c r="T603" s="158"/>
      <c r="U603" s="168"/>
    </row>
    <row r="604" spans="1:21" ht="31.5" x14ac:dyDescent="0.2">
      <c r="A604" s="169" t="s">
        <v>447</v>
      </c>
      <c r="B604" s="170" t="s">
        <v>599</v>
      </c>
      <c r="C604" s="171">
        <v>1</v>
      </c>
      <c r="D604" s="181"/>
      <c r="E604" s="181"/>
      <c r="F604" s="181"/>
      <c r="G604" s="184" t="s">
        <v>705</v>
      </c>
      <c r="H604" s="151"/>
      <c r="I604" s="151"/>
      <c r="J604" s="151"/>
      <c r="K604" s="151"/>
      <c r="L604" s="156"/>
      <c r="M604" s="157"/>
      <c r="N604" s="157"/>
      <c r="O604" s="157"/>
      <c r="P604" s="157"/>
      <c r="Q604" s="157"/>
      <c r="R604" s="157"/>
      <c r="S604" s="157"/>
      <c r="T604" s="158"/>
      <c r="U604" s="168"/>
    </row>
    <row r="605" spans="1:21" ht="12.75" x14ac:dyDescent="0.2">
      <c r="A605" s="175" t="s">
        <v>231</v>
      </c>
      <c r="B605" s="170" t="s">
        <v>599</v>
      </c>
      <c r="C605" s="171">
        <v>1</v>
      </c>
      <c r="D605" s="187"/>
      <c r="E605" s="187"/>
      <c r="F605" s="187"/>
      <c r="G605" s="184" t="s">
        <v>705</v>
      </c>
      <c r="H605" s="151"/>
      <c r="I605" s="151"/>
      <c r="J605" s="151"/>
      <c r="K605" s="151"/>
      <c r="L605" s="156"/>
      <c r="M605" s="157"/>
      <c r="N605" s="157"/>
      <c r="O605" s="157"/>
      <c r="P605" s="157"/>
      <c r="Q605" s="157"/>
      <c r="R605" s="157"/>
      <c r="S605" s="157"/>
      <c r="T605" s="158"/>
      <c r="U605" s="168"/>
    </row>
    <row r="606" spans="1:21" ht="12.75" x14ac:dyDescent="0.2">
      <c r="A606" s="175" t="s">
        <v>232</v>
      </c>
      <c r="B606" s="170" t="s">
        <v>599</v>
      </c>
      <c r="C606" s="171">
        <v>1</v>
      </c>
      <c r="D606" s="188"/>
      <c r="E606" s="188"/>
      <c r="F606" s="188"/>
      <c r="G606" s="184" t="s">
        <v>705</v>
      </c>
      <c r="H606" s="151"/>
      <c r="I606" s="151"/>
      <c r="J606" s="151"/>
      <c r="K606" s="151"/>
      <c r="L606" s="156"/>
      <c r="M606" s="157"/>
      <c r="N606" s="157"/>
      <c r="O606" s="157"/>
      <c r="P606" s="157"/>
      <c r="Q606" s="157"/>
      <c r="R606" s="157"/>
      <c r="S606" s="157"/>
      <c r="T606" s="158"/>
      <c r="U606" s="168"/>
    </row>
    <row r="607" spans="1:21" ht="21" x14ac:dyDescent="0.2">
      <c r="A607" s="169" t="s">
        <v>213</v>
      </c>
      <c r="B607" s="170" t="s">
        <v>257</v>
      </c>
      <c r="C607" s="171">
        <v>1</v>
      </c>
      <c r="D607" s="183"/>
      <c r="E607" s="183"/>
      <c r="F607" s="183"/>
      <c r="G607" s="184" t="s">
        <v>705</v>
      </c>
      <c r="H607" s="151"/>
      <c r="I607" s="151"/>
      <c r="J607" s="151"/>
      <c r="K607" s="151"/>
      <c r="L607" s="156"/>
      <c r="M607" s="157"/>
      <c r="N607" s="157"/>
      <c r="O607" s="157"/>
      <c r="P607" s="157"/>
      <c r="Q607" s="157"/>
      <c r="R607" s="157"/>
      <c r="S607" s="157"/>
      <c r="T607" s="158"/>
      <c r="U607" s="168"/>
    </row>
    <row r="608" spans="1:21" ht="12.75" x14ac:dyDescent="0.2">
      <c r="A608" s="191" t="s">
        <v>593</v>
      </c>
      <c r="B608" s="247"/>
      <c r="C608" s="171"/>
      <c r="D608" s="183"/>
      <c r="E608" s="183"/>
      <c r="F608" s="183"/>
      <c r="G608" s="184"/>
      <c r="H608" s="151"/>
      <c r="I608" s="151"/>
      <c r="J608" s="151"/>
      <c r="K608" s="151"/>
      <c r="L608" s="156"/>
      <c r="M608" s="157"/>
      <c r="N608" s="157"/>
      <c r="O608" s="157"/>
      <c r="P608" s="157"/>
      <c r="Q608" s="157"/>
      <c r="R608" s="157"/>
      <c r="S608" s="157"/>
      <c r="T608" s="158"/>
      <c r="U608" s="168"/>
    </row>
    <row r="609" spans="1:21" ht="12.75" x14ac:dyDescent="0.2">
      <c r="A609" s="175" t="s">
        <v>233</v>
      </c>
      <c r="B609" s="170" t="s">
        <v>594</v>
      </c>
      <c r="C609" s="171">
        <v>1</v>
      </c>
      <c r="D609" s="183"/>
      <c r="E609" s="183"/>
      <c r="F609" s="183"/>
      <c r="G609" s="184" t="s">
        <v>705</v>
      </c>
      <c r="H609" s="151"/>
      <c r="I609" s="151"/>
      <c r="J609" s="151"/>
      <c r="K609" s="151"/>
      <c r="L609" s="156"/>
      <c r="M609" s="157"/>
      <c r="N609" s="157"/>
      <c r="O609" s="157"/>
      <c r="P609" s="157"/>
      <c r="Q609" s="157"/>
      <c r="R609" s="157"/>
      <c r="S609" s="157"/>
      <c r="T609" s="158"/>
      <c r="U609" s="168"/>
    </row>
    <row r="610" spans="1:21" ht="12.75" x14ac:dyDescent="0.2">
      <c r="A610" s="175" t="s">
        <v>234</v>
      </c>
      <c r="B610" s="170"/>
      <c r="C610" s="171"/>
      <c r="D610" s="183"/>
      <c r="E610" s="183"/>
      <c r="F610" s="183"/>
      <c r="G610" s="184"/>
      <c r="H610" s="151"/>
      <c r="I610" s="151"/>
      <c r="J610" s="151"/>
      <c r="K610" s="151"/>
      <c r="L610" s="156"/>
      <c r="M610" s="157"/>
      <c r="N610" s="157"/>
      <c r="O610" s="157"/>
      <c r="P610" s="157"/>
      <c r="Q610" s="157"/>
      <c r="R610" s="157"/>
      <c r="S610" s="157"/>
      <c r="T610" s="158"/>
      <c r="U610" s="168"/>
    </row>
    <row r="611" spans="1:21" ht="12.75" x14ac:dyDescent="0.2">
      <c r="A611" s="189" t="s">
        <v>235</v>
      </c>
      <c r="B611" s="170" t="s">
        <v>594</v>
      </c>
      <c r="C611" s="171">
        <v>1</v>
      </c>
      <c r="D611" s="172"/>
      <c r="E611" s="172"/>
      <c r="F611" s="172"/>
      <c r="G611" s="184" t="s">
        <v>705</v>
      </c>
      <c r="H611" s="151"/>
      <c r="I611" s="151"/>
      <c r="J611" s="151"/>
      <c r="K611" s="151"/>
      <c r="L611" s="156"/>
      <c r="M611" s="157"/>
      <c r="N611" s="157"/>
      <c r="O611" s="157"/>
      <c r="P611" s="157"/>
      <c r="Q611" s="157"/>
      <c r="R611" s="157"/>
      <c r="S611" s="157"/>
      <c r="T611" s="158"/>
      <c r="U611" s="168"/>
    </row>
    <row r="612" spans="1:21" ht="12.75" x14ac:dyDescent="0.2">
      <c r="A612" s="189" t="s">
        <v>236</v>
      </c>
      <c r="B612" s="170" t="s">
        <v>594</v>
      </c>
      <c r="C612" s="171">
        <v>1</v>
      </c>
      <c r="D612" s="172"/>
      <c r="E612" s="172"/>
      <c r="F612" s="172"/>
      <c r="G612" s="184" t="s">
        <v>705</v>
      </c>
      <c r="H612" s="151"/>
      <c r="I612" s="151"/>
      <c r="J612" s="151"/>
      <c r="K612" s="151"/>
      <c r="L612" s="156"/>
      <c r="M612" s="157"/>
      <c r="N612" s="157"/>
      <c r="O612" s="157"/>
      <c r="P612" s="157"/>
      <c r="Q612" s="157"/>
      <c r="R612" s="157"/>
      <c r="S612" s="157"/>
      <c r="T612" s="158"/>
      <c r="U612" s="168"/>
    </row>
    <row r="613" spans="1:21" ht="12.75" x14ac:dyDescent="0.2">
      <c r="A613" s="189" t="s">
        <v>237</v>
      </c>
      <c r="B613" s="170" t="s">
        <v>594</v>
      </c>
      <c r="C613" s="171">
        <v>1</v>
      </c>
      <c r="D613" s="172"/>
      <c r="E613" s="172"/>
      <c r="F613" s="172"/>
      <c r="G613" s="184" t="s">
        <v>705</v>
      </c>
      <c r="H613" s="151"/>
      <c r="I613" s="151"/>
      <c r="J613" s="151"/>
      <c r="K613" s="151"/>
      <c r="L613" s="156"/>
      <c r="M613" s="157"/>
      <c r="N613" s="157"/>
      <c r="O613" s="157"/>
      <c r="P613" s="157"/>
      <c r="Q613" s="157"/>
      <c r="R613" s="157"/>
      <c r="S613" s="157"/>
      <c r="T613" s="158"/>
      <c r="U613" s="168"/>
    </row>
    <row r="614" spans="1:21" ht="31.5" x14ac:dyDescent="0.2">
      <c r="A614" s="189" t="s">
        <v>238</v>
      </c>
      <c r="B614" s="170" t="s">
        <v>854</v>
      </c>
      <c r="C614" s="171">
        <v>1</v>
      </c>
      <c r="D614" s="172"/>
      <c r="E614" s="172"/>
      <c r="F614" s="172"/>
      <c r="G614" s="184" t="s">
        <v>705</v>
      </c>
      <c r="H614" s="151"/>
      <c r="I614" s="151"/>
      <c r="J614" s="151"/>
      <c r="K614" s="151"/>
      <c r="L614" s="156"/>
      <c r="M614" s="157"/>
      <c r="N614" s="157"/>
      <c r="O614" s="157"/>
      <c r="P614" s="157"/>
      <c r="Q614" s="157"/>
      <c r="R614" s="157"/>
      <c r="S614" s="157"/>
      <c r="T614" s="158"/>
      <c r="U614" s="168"/>
    </row>
    <row r="615" spans="1:21" ht="12.75" x14ac:dyDescent="0.2">
      <c r="A615" s="189" t="s">
        <v>239</v>
      </c>
      <c r="B615" s="170" t="s">
        <v>564</v>
      </c>
      <c r="C615" s="171">
        <v>1</v>
      </c>
      <c r="D615" s="172"/>
      <c r="E615" s="172"/>
      <c r="F615" s="172"/>
      <c r="G615" s="184" t="s">
        <v>705</v>
      </c>
      <c r="H615" s="151"/>
      <c r="I615" s="151"/>
      <c r="J615" s="151"/>
      <c r="K615" s="151"/>
      <c r="L615" s="156"/>
      <c r="M615" s="157"/>
      <c r="N615" s="157"/>
      <c r="O615" s="157"/>
      <c r="P615" s="157"/>
      <c r="Q615" s="157"/>
      <c r="R615" s="157"/>
      <c r="S615" s="157"/>
      <c r="T615" s="158"/>
      <c r="U615" s="168"/>
    </row>
    <row r="616" spans="1:21" ht="18" x14ac:dyDescent="0.2">
      <c r="A616" s="175" t="s">
        <v>240</v>
      </c>
      <c r="B616" s="170" t="s">
        <v>444</v>
      </c>
      <c r="C616" s="171">
        <v>1</v>
      </c>
      <c r="D616" s="183"/>
      <c r="E616" s="183"/>
      <c r="F616" s="183"/>
      <c r="G616" s="184" t="s">
        <v>705</v>
      </c>
      <c r="H616" s="151"/>
      <c r="I616" s="151"/>
      <c r="J616" s="151"/>
      <c r="K616" s="151"/>
      <c r="L616" s="156"/>
      <c r="M616" s="157"/>
      <c r="N616" s="157"/>
      <c r="O616" s="157"/>
      <c r="P616" s="157"/>
      <c r="Q616" s="157"/>
      <c r="R616" s="157"/>
      <c r="S616" s="157"/>
      <c r="T616" s="158"/>
      <c r="U616" s="168"/>
    </row>
    <row r="617" spans="1:21" ht="12.75" x14ac:dyDescent="0.2">
      <c r="A617" s="175" t="s">
        <v>241</v>
      </c>
      <c r="B617" s="170" t="s">
        <v>445</v>
      </c>
      <c r="C617" s="171">
        <v>1</v>
      </c>
      <c r="D617" s="183"/>
      <c r="E617" s="183"/>
      <c r="F617" s="183"/>
      <c r="G617" s="184" t="s">
        <v>705</v>
      </c>
      <c r="H617" s="151"/>
      <c r="I617" s="151"/>
      <c r="J617" s="151"/>
      <c r="K617" s="151"/>
      <c r="L617" s="156"/>
      <c r="M617" s="157"/>
      <c r="N617" s="157"/>
      <c r="O617" s="157"/>
      <c r="P617" s="157"/>
      <c r="Q617" s="157"/>
      <c r="R617" s="157"/>
      <c r="S617" s="157"/>
      <c r="T617" s="158"/>
      <c r="U617" s="168"/>
    </row>
    <row r="618" spans="1:21" ht="12.75" x14ac:dyDescent="0.2">
      <c r="A618" s="175" t="s">
        <v>446</v>
      </c>
      <c r="B618" s="170"/>
      <c r="C618" s="171"/>
      <c r="D618" s="183"/>
      <c r="E618" s="183"/>
      <c r="F618" s="183"/>
      <c r="G618" s="184"/>
      <c r="H618" s="151"/>
      <c r="I618" s="151"/>
      <c r="J618" s="151"/>
      <c r="K618" s="151"/>
      <c r="L618" s="156"/>
      <c r="M618" s="157"/>
      <c r="N618" s="157"/>
      <c r="O618" s="157"/>
      <c r="P618" s="157"/>
      <c r="Q618" s="157"/>
      <c r="R618" s="157"/>
      <c r="S618" s="157"/>
      <c r="T618" s="158"/>
      <c r="U618" s="168"/>
    </row>
    <row r="619" spans="1:21" ht="21" x14ac:dyDescent="0.2">
      <c r="A619" s="189" t="s">
        <v>242</v>
      </c>
      <c r="B619" s="170" t="s">
        <v>445</v>
      </c>
      <c r="C619" s="171">
        <v>1</v>
      </c>
      <c r="D619" s="183"/>
      <c r="E619" s="183"/>
      <c r="F619" s="183"/>
      <c r="G619" s="184" t="s">
        <v>705</v>
      </c>
      <c r="H619" s="151"/>
      <c r="I619" s="151"/>
      <c r="J619" s="151"/>
      <c r="K619" s="151"/>
      <c r="L619" s="156"/>
      <c r="M619" s="157"/>
      <c r="N619" s="157"/>
      <c r="O619" s="157"/>
      <c r="P619" s="157"/>
      <c r="Q619" s="157"/>
      <c r="R619" s="157"/>
      <c r="S619" s="157"/>
      <c r="T619" s="158"/>
      <c r="U619" s="168"/>
    </row>
    <row r="620" spans="1:21" ht="12.75" x14ac:dyDescent="0.2">
      <c r="A620" s="175" t="s">
        <v>243</v>
      </c>
      <c r="B620" s="170" t="s">
        <v>445</v>
      </c>
      <c r="C620" s="171">
        <v>1</v>
      </c>
      <c r="D620" s="183"/>
      <c r="E620" s="183"/>
      <c r="F620" s="183"/>
      <c r="G620" s="184" t="s">
        <v>705</v>
      </c>
      <c r="H620" s="151"/>
      <c r="I620" s="151"/>
      <c r="J620" s="151"/>
      <c r="K620" s="151"/>
      <c r="L620" s="156"/>
      <c r="M620" s="157"/>
      <c r="N620" s="157"/>
      <c r="O620" s="157"/>
      <c r="P620" s="157"/>
      <c r="Q620" s="157"/>
      <c r="R620" s="157"/>
      <c r="S620" s="157"/>
      <c r="T620" s="158"/>
      <c r="U620" s="168"/>
    </row>
    <row r="621" spans="1:21" ht="12.75" x14ac:dyDescent="0.2">
      <c r="A621" s="175" t="s">
        <v>247</v>
      </c>
      <c r="B621" s="170" t="s">
        <v>248</v>
      </c>
      <c r="C621" s="248">
        <v>1</v>
      </c>
      <c r="D621" s="249"/>
      <c r="E621" s="249"/>
      <c r="F621" s="250"/>
      <c r="G621" s="251" t="s">
        <v>705</v>
      </c>
      <c r="H621" s="151"/>
      <c r="I621" s="151"/>
      <c r="J621" s="151"/>
      <c r="K621" s="151"/>
      <c r="L621" s="156"/>
      <c r="M621" s="157"/>
      <c r="N621" s="157"/>
      <c r="O621" s="157"/>
      <c r="P621" s="157"/>
      <c r="Q621" s="157"/>
      <c r="R621" s="157"/>
      <c r="S621" s="157"/>
      <c r="T621" s="158"/>
      <c r="U621" s="168"/>
    </row>
    <row r="622" spans="1:21" ht="12.75" x14ac:dyDescent="0.2">
      <c r="A622" s="175" t="s">
        <v>249</v>
      </c>
      <c r="B622" s="170" t="s">
        <v>248</v>
      </c>
      <c r="C622" s="248">
        <v>1</v>
      </c>
      <c r="D622" s="249"/>
      <c r="E622" s="249"/>
      <c r="F622" s="252"/>
      <c r="G622" s="251" t="s">
        <v>705</v>
      </c>
      <c r="H622" s="151"/>
      <c r="I622" s="151"/>
      <c r="J622" s="151"/>
      <c r="K622" s="151"/>
      <c r="L622" s="156"/>
      <c r="M622" s="157"/>
      <c r="N622" s="157"/>
      <c r="O622" s="157"/>
      <c r="P622" s="157"/>
      <c r="Q622" s="157"/>
      <c r="R622" s="157"/>
      <c r="S622" s="157"/>
      <c r="T622" s="158"/>
      <c r="U622" s="168"/>
    </row>
    <row r="623" spans="1:21" ht="21" x14ac:dyDescent="0.2">
      <c r="A623" s="175" t="s">
        <v>250</v>
      </c>
      <c r="B623" s="170" t="s">
        <v>565</v>
      </c>
      <c r="C623" s="171">
        <v>1</v>
      </c>
      <c r="D623" s="172"/>
      <c r="E623" s="172"/>
      <c r="F623" s="172"/>
      <c r="G623" s="184" t="s">
        <v>705</v>
      </c>
      <c r="H623" s="151"/>
      <c r="I623" s="151"/>
      <c r="J623" s="151"/>
      <c r="K623" s="151"/>
      <c r="L623" s="156"/>
      <c r="M623" s="157"/>
      <c r="N623" s="157"/>
      <c r="O623" s="157"/>
      <c r="P623" s="157"/>
      <c r="Q623" s="157"/>
      <c r="R623" s="157"/>
      <c r="S623" s="157"/>
      <c r="T623" s="158"/>
      <c r="U623" s="168"/>
    </row>
    <row r="624" spans="1:21" ht="12.75" x14ac:dyDescent="0.2">
      <c r="A624" s="191" t="s">
        <v>214</v>
      </c>
      <c r="B624" s="170" t="s">
        <v>251</v>
      </c>
      <c r="C624" s="171">
        <v>1</v>
      </c>
      <c r="D624" s="181"/>
      <c r="E624" s="181"/>
      <c r="F624" s="181"/>
      <c r="G624" s="184" t="s">
        <v>705</v>
      </c>
      <c r="H624" s="151"/>
      <c r="I624" s="151"/>
      <c r="J624" s="151"/>
      <c r="K624" s="151"/>
      <c r="L624" s="156"/>
      <c r="M624" s="157"/>
      <c r="N624" s="157"/>
      <c r="O624" s="157"/>
      <c r="P624" s="157"/>
      <c r="Q624" s="157"/>
      <c r="R624" s="157"/>
      <c r="S624" s="157"/>
      <c r="T624" s="158"/>
      <c r="U624" s="168"/>
    </row>
    <row r="625" spans="1:21" ht="12.75" x14ac:dyDescent="0.2">
      <c r="A625" s="169" t="s">
        <v>252</v>
      </c>
      <c r="B625" s="170"/>
      <c r="C625" s="171"/>
      <c r="D625" s="187"/>
      <c r="E625" s="187"/>
      <c r="F625" s="187"/>
      <c r="G625" s="184"/>
      <c r="H625" s="151"/>
      <c r="I625" s="151"/>
      <c r="J625" s="151"/>
      <c r="K625" s="151"/>
      <c r="L625" s="156"/>
      <c r="M625" s="157"/>
      <c r="N625" s="157"/>
      <c r="O625" s="157"/>
      <c r="P625" s="157"/>
      <c r="Q625" s="157"/>
      <c r="R625" s="157"/>
      <c r="S625" s="157"/>
      <c r="T625" s="158"/>
      <c r="U625" s="168"/>
    </row>
    <row r="626" spans="1:21" ht="12.75" x14ac:dyDescent="0.2">
      <c r="A626" s="175" t="s">
        <v>160</v>
      </c>
      <c r="B626" s="170" t="s">
        <v>251</v>
      </c>
      <c r="C626" s="171">
        <v>1</v>
      </c>
      <c r="D626" s="187"/>
      <c r="E626" s="187"/>
      <c r="F626" s="187"/>
      <c r="G626" s="184" t="s">
        <v>705</v>
      </c>
      <c r="H626" s="151"/>
      <c r="I626" s="151"/>
      <c r="J626" s="151"/>
      <c r="K626" s="151"/>
      <c r="L626" s="156"/>
      <c r="M626" s="157"/>
      <c r="N626" s="157"/>
      <c r="O626" s="157"/>
      <c r="P626" s="157"/>
      <c r="Q626" s="157"/>
      <c r="R626" s="157"/>
      <c r="S626" s="157"/>
      <c r="T626" s="158"/>
      <c r="U626" s="168"/>
    </row>
    <row r="627" spans="1:21" ht="21" x14ac:dyDescent="0.2">
      <c r="A627" s="175" t="s">
        <v>253</v>
      </c>
      <c r="B627" s="170" t="s">
        <v>251</v>
      </c>
      <c r="C627" s="171">
        <v>1</v>
      </c>
      <c r="D627" s="187"/>
      <c r="E627" s="187"/>
      <c r="F627" s="187"/>
      <c r="G627" s="184" t="s">
        <v>705</v>
      </c>
      <c r="H627" s="151"/>
      <c r="I627" s="151"/>
      <c r="J627" s="151"/>
      <c r="K627" s="151"/>
      <c r="L627" s="156"/>
      <c r="M627" s="157"/>
      <c r="N627" s="157"/>
      <c r="O627" s="157"/>
      <c r="P627" s="157"/>
      <c r="Q627" s="157"/>
      <c r="R627" s="157"/>
      <c r="S627" s="157"/>
      <c r="T627" s="158"/>
      <c r="U627" s="168"/>
    </row>
    <row r="628" spans="1:21" ht="31.5" x14ac:dyDescent="0.2">
      <c r="A628" s="175" t="s">
        <v>254</v>
      </c>
      <c r="B628" s="170" t="s">
        <v>251</v>
      </c>
      <c r="C628" s="171">
        <v>1</v>
      </c>
      <c r="D628" s="188"/>
      <c r="E628" s="188"/>
      <c r="F628" s="188"/>
      <c r="G628" s="184" t="s">
        <v>705</v>
      </c>
      <c r="H628" s="151"/>
      <c r="I628" s="151"/>
      <c r="J628" s="151"/>
      <c r="K628" s="151"/>
      <c r="L628" s="156"/>
      <c r="M628" s="157"/>
      <c r="N628" s="157"/>
      <c r="O628" s="157"/>
      <c r="P628" s="157"/>
      <c r="Q628" s="157"/>
      <c r="R628" s="157"/>
      <c r="S628" s="157"/>
      <c r="T628" s="158"/>
      <c r="U628" s="168"/>
    </row>
    <row r="629" spans="1:21" ht="31.5" x14ac:dyDescent="0.2">
      <c r="A629" s="175" t="s">
        <v>566</v>
      </c>
      <c r="B629" s="170" t="s">
        <v>255</v>
      </c>
      <c r="C629" s="248">
        <v>1</v>
      </c>
      <c r="D629" s="249"/>
      <c r="E629" s="249"/>
      <c r="F629" s="250"/>
      <c r="G629" s="251" t="s">
        <v>705</v>
      </c>
      <c r="H629" s="151"/>
      <c r="I629" s="151"/>
      <c r="J629" s="151"/>
      <c r="K629" s="151"/>
      <c r="L629" s="156"/>
      <c r="M629" s="157"/>
      <c r="N629" s="157"/>
      <c r="O629" s="157"/>
      <c r="P629" s="157"/>
      <c r="Q629" s="157"/>
      <c r="R629" s="157"/>
      <c r="S629" s="157"/>
      <c r="T629" s="158"/>
      <c r="U629" s="168"/>
    </row>
    <row r="630" spans="1:21" ht="31.5" x14ac:dyDescent="0.2">
      <c r="A630" s="175" t="s">
        <v>256</v>
      </c>
      <c r="B630" s="170" t="s">
        <v>325</v>
      </c>
      <c r="C630" s="248">
        <v>1</v>
      </c>
      <c r="D630" s="249"/>
      <c r="E630" s="250"/>
      <c r="F630" s="250"/>
      <c r="G630" s="251" t="s">
        <v>705</v>
      </c>
      <c r="H630" s="151"/>
      <c r="I630" s="151"/>
      <c r="J630" s="151"/>
      <c r="K630" s="151"/>
      <c r="L630" s="156"/>
      <c r="M630" s="157"/>
      <c r="N630" s="157"/>
      <c r="O630" s="157"/>
      <c r="P630" s="157"/>
      <c r="Q630" s="157"/>
      <c r="R630" s="157"/>
      <c r="S630" s="157"/>
      <c r="T630" s="158"/>
      <c r="U630" s="168"/>
    </row>
    <row r="631" spans="1:21" ht="21" x14ac:dyDescent="0.2">
      <c r="A631" s="175" t="s">
        <v>567</v>
      </c>
      <c r="B631" s="170" t="s">
        <v>469</v>
      </c>
      <c r="C631" s="248">
        <v>1</v>
      </c>
      <c r="D631" s="249"/>
      <c r="E631" s="252"/>
      <c r="F631" s="252"/>
      <c r="G631" s="251" t="s">
        <v>705</v>
      </c>
      <c r="H631" s="151"/>
      <c r="I631" s="151"/>
      <c r="J631" s="151"/>
      <c r="K631" s="151"/>
      <c r="L631" s="156"/>
      <c r="M631" s="157"/>
      <c r="N631" s="157"/>
      <c r="O631" s="157"/>
      <c r="P631" s="157"/>
      <c r="Q631" s="157"/>
      <c r="R631" s="157"/>
      <c r="S631" s="157"/>
      <c r="T631" s="158"/>
      <c r="U631" s="168"/>
    </row>
    <row r="632" spans="1:21" ht="12.75" x14ac:dyDescent="0.2">
      <c r="A632" s="175" t="s">
        <v>669</v>
      </c>
      <c r="B632" s="170" t="s">
        <v>257</v>
      </c>
      <c r="C632" s="248">
        <v>1</v>
      </c>
      <c r="D632" s="249"/>
      <c r="E632" s="249"/>
      <c r="F632" s="249"/>
      <c r="G632" s="251" t="s">
        <v>705</v>
      </c>
      <c r="H632" s="151"/>
      <c r="I632" s="151"/>
      <c r="J632" s="151"/>
      <c r="K632" s="151"/>
      <c r="L632" s="156"/>
      <c r="M632" s="157"/>
      <c r="N632" s="157"/>
      <c r="O632" s="157"/>
      <c r="P632" s="157"/>
      <c r="Q632" s="157"/>
      <c r="R632" s="157"/>
      <c r="S632" s="157"/>
      <c r="T632" s="158"/>
      <c r="U632" s="168"/>
    </row>
    <row r="633" spans="1:21" ht="21" x14ac:dyDescent="0.2">
      <c r="A633" s="169" t="s">
        <v>568</v>
      </c>
      <c r="B633" s="170" t="s">
        <v>611</v>
      </c>
      <c r="C633" s="171">
        <v>1</v>
      </c>
      <c r="D633" s="183"/>
      <c r="E633" s="183"/>
      <c r="F633" s="183"/>
      <c r="G633" s="184" t="s">
        <v>705</v>
      </c>
      <c r="H633" s="151"/>
      <c r="I633" s="151"/>
      <c r="J633" s="151"/>
      <c r="K633" s="151"/>
      <c r="L633" s="156"/>
      <c r="M633" s="157"/>
      <c r="N633" s="157"/>
      <c r="O633" s="157"/>
      <c r="P633" s="157"/>
      <c r="Q633" s="157"/>
      <c r="R633" s="157"/>
      <c r="S633" s="157"/>
      <c r="T633" s="158"/>
      <c r="U633" s="168"/>
    </row>
    <row r="634" spans="1:21" ht="21" x14ac:dyDescent="0.2">
      <c r="A634" s="169" t="s">
        <v>568</v>
      </c>
      <c r="B634" s="170" t="s">
        <v>258</v>
      </c>
      <c r="C634" s="171">
        <v>1</v>
      </c>
      <c r="D634" s="183"/>
      <c r="E634" s="183"/>
      <c r="F634" s="183"/>
      <c r="G634" s="184" t="s">
        <v>705</v>
      </c>
      <c r="H634" s="151"/>
      <c r="I634" s="151"/>
      <c r="J634" s="151"/>
      <c r="K634" s="151"/>
      <c r="L634" s="156"/>
      <c r="M634" s="157"/>
      <c r="N634" s="157"/>
      <c r="O634" s="157"/>
      <c r="P634" s="157"/>
      <c r="Q634" s="157"/>
      <c r="R634" s="157"/>
      <c r="S634" s="157"/>
      <c r="T634" s="158"/>
      <c r="U634" s="168"/>
    </row>
    <row r="635" spans="1:21" ht="12.75" x14ac:dyDescent="0.2">
      <c r="A635" s="175"/>
      <c r="B635" s="170"/>
      <c r="C635" s="171"/>
      <c r="D635" s="183"/>
      <c r="E635" s="183"/>
      <c r="F635" s="183"/>
      <c r="G635" s="184"/>
      <c r="H635" s="151"/>
      <c r="I635" s="151"/>
      <c r="J635" s="151"/>
      <c r="K635" s="151"/>
      <c r="L635" s="156"/>
      <c r="M635" s="157"/>
      <c r="N635" s="157"/>
      <c r="O635" s="157"/>
      <c r="P635" s="157"/>
      <c r="Q635" s="157"/>
      <c r="R635" s="157"/>
      <c r="S635" s="157"/>
      <c r="T635" s="158"/>
      <c r="U635" s="168"/>
    </row>
    <row r="636" spans="1:21" ht="14.25" x14ac:dyDescent="0.2">
      <c r="A636" s="217" t="s">
        <v>259</v>
      </c>
      <c r="B636" s="186"/>
      <c r="C636" s="171"/>
      <c r="D636" s="183"/>
      <c r="E636" s="183"/>
      <c r="F636" s="183"/>
      <c r="G636" s="184"/>
      <c r="H636" s="151"/>
      <c r="I636" s="151"/>
      <c r="J636" s="151"/>
      <c r="K636" s="151"/>
      <c r="L636" s="156"/>
      <c r="M636" s="157"/>
      <c r="N636" s="157"/>
      <c r="O636" s="157"/>
      <c r="P636" s="157"/>
      <c r="Q636" s="157"/>
      <c r="R636" s="157"/>
      <c r="S636" s="157"/>
      <c r="T636" s="158"/>
      <c r="U636" s="168"/>
    </row>
    <row r="637" spans="1:21" ht="42" x14ac:dyDescent="0.2">
      <c r="A637" s="169" t="s">
        <v>260</v>
      </c>
      <c r="B637" s="170" t="s">
        <v>578</v>
      </c>
      <c r="C637" s="171">
        <v>1</v>
      </c>
      <c r="D637" s="183"/>
      <c r="E637" s="183"/>
      <c r="F637" s="183"/>
      <c r="G637" s="184" t="s">
        <v>705</v>
      </c>
      <c r="H637" s="151"/>
      <c r="I637" s="151"/>
      <c r="J637" s="151"/>
      <c r="K637" s="151"/>
      <c r="L637" s="156"/>
      <c r="M637" s="157"/>
      <c r="N637" s="157"/>
      <c r="O637" s="157"/>
      <c r="P637" s="157"/>
      <c r="Q637" s="157"/>
      <c r="R637" s="157"/>
      <c r="S637" s="157"/>
      <c r="T637" s="158"/>
      <c r="U637" s="168"/>
    </row>
    <row r="638" spans="1:21" ht="12.75" x14ac:dyDescent="0.2">
      <c r="A638" s="169" t="s">
        <v>159</v>
      </c>
      <c r="B638" s="170"/>
      <c r="C638" s="171"/>
      <c r="D638" s="183"/>
      <c r="E638" s="183"/>
      <c r="F638" s="183"/>
      <c r="G638" s="184"/>
      <c r="H638" s="151"/>
      <c r="I638" s="151"/>
      <c r="J638" s="151"/>
      <c r="K638" s="151"/>
      <c r="L638" s="156"/>
      <c r="M638" s="157"/>
      <c r="N638" s="157"/>
      <c r="O638" s="157"/>
      <c r="P638" s="157"/>
      <c r="Q638" s="157"/>
      <c r="R638" s="157"/>
      <c r="S638" s="157"/>
      <c r="T638" s="158"/>
      <c r="U638" s="168"/>
    </row>
    <row r="639" spans="1:21" ht="12.75" x14ac:dyDescent="0.2">
      <c r="A639" s="175" t="s">
        <v>160</v>
      </c>
      <c r="B639" s="170" t="s">
        <v>578</v>
      </c>
      <c r="C639" s="171">
        <v>1</v>
      </c>
      <c r="D639" s="183"/>
      <c r="E639" s="183"/>
      <c r="F639" s="183"/>
      <c r="G639" s="184" t="s">
        <v>705</v>
      </c>
      <c r="H639" s="151"/>
      <c r="I639" s="151"/>
      <c r="J639" s="151"/>
      <c r="K639" s="151"/>
      <c r="L639" s="156"/>
      <c r="M639" s="157"/>
      <c r="N639" s="157"/>
      <c r="O639" s="157"/>
      <c r="P639" s="157"/>
      <c r="Q639" s="157"/>
      <c r="R639" s="157"/>
      <c r="S639" s="157"/>
      <c r="T639" s="158"/>
      <c r="U639" s="168"/>
    </row>
    <row r="640" spans="1:21" ht="21" x14ac:dyDescent="0.2">
      <c r="A640" s="175" t="s">
        <v>261</v>
      </c>
      <c r="B640" s="170" t="s">
        <v>578</v>
      </c>
      <c r="C640" s="171">
        <v>1</v>
      </c>
      <c r="D640" s="183"/>
      <c r="E640" s="183"/>
      <c r="F640" s="183"/>
      <c r="G640" s="184" t="s">
        <v>705</v>
      </c>
      <c r="H640" s="151"/>
      <c r="I640" s="151"/>
      <c r="J640" s="151"/>
      <c r="K640" s="151"/>
      <c r="L640" s="156"/>
      <c r="M640" s="157"/>
      <c r="N640" s="157"/>
      <c r="O640" s="157"/>
      <c r="P640" s="157"/>
      <c r="Q640" s="157"/>
      <c r="R640" s="157"/>
      <c r="S640" s="157"/>
      <c r="T640" s="158"/>
      <c r="U640" s="168"/>
    </row>
    <row r="641" spans="1:21" ht="12.75" x14ac:dyDescent="0.2">
      <c r="A641" s="175" t="s">
        <v>262</v>
      </c>
      <c r="B641" s="170" t="s">
        <v>578</v>
      </c>
      <c r="C641" s="171">
        <v>1</v>
      </c>
      <c r="D641" s="183"/>
      <c r="E641" s="183"/>
      <c r="F641" s="183"/>
      <c r="G641" s="184" t="s">
        <v>705</v>
      </c>
      <c r="H641" s="151"/>
      <c r="I641" s="151"/>
      <c r="J641" s="151"/>
      <c r="K641" s="151"/>
      <c r="L641" s="156"/>
      <c r="M641" s="157"/>
      <c r="N641" s="157"/>
      <c r="O641" s="157"/>
      <c r="P641" s="157"/>
      <c r="Q641" s="157"/>
      <c r="R641" s="157"/>
      <c r="S641" s="157"/>
      <c r="T641" s="158"/>
      <c r="U641" s="168"/>
    </row>
    <row r="642" spans="1:21" ht="31.5" x14ac:dyDescent="0.2">
      <c r="A642" s="169" t="s">
        <v>569</v>
      </c>
      <c r="B642" s="170" t="s">
        <v>448</v>
      </c>
      <c r="C642" s="171">
        <v>1</v>
      </c>
      <c r="D642" s="183"/>
      <c r="E642" s="183"/>
      <c r="F642" s="183"/>
      <c r="G642" s="184" t="s">
        <v>705</v>
      </c>
      <c r="H642" s="151"/>
      <c r="I642" s="151"/>
      <c r="J642" s="151"/>
      <c r="K642" s="151"/>
      <c r="L642" s="156"/>
      <c r="M642" s="157"/>
      <c r="N642" s="157"/>
      <c r="O642" s="157"/>
      <c r="P642" s="157"/>
      <c r="Q642" s="157"/>
      <c r="R642" s="157"/>
      <c r="S642" s="157"/>
      <c r="T642" s="158"/>
      <c r="U642" s="168"/>
    </row>
    <row r="643" spans="1:21" ht="12.75" x14ac:dyDescent="0.2">
      <c r="A643" s="169"/>
      <c r="B643" s="170" t="s">
        <v>898</v>
      </c>
      <c r="C643" s="171">
        <v>1</v>
      </c>
      <c r="D643" s="183"/>
      <c r="E643" s="183"/>
      <c r="F643" s="183"/>
      <c r="G643" s="184" t="s">
        <v>704</v>
      </c>
      <c r="H643" s="151"/>
      <c r="I643" s="151"/>
      <c r="J643" s="151"/>
      <c r="K643" s="151"/>
      <c r="L643" s="156"/>
      <c r="M643" s="157"/>
      <c r="N643" s="157"/>
      <c r="O643" s="157"/>
      <c r="P643" s="157"/>
      <c r="Q643" s="157"/>
      <c r="R643" s="157"/>
      <c r="S643" s="157"/>
      <c r="T643" s="158"/>
      <c r="U643" s="168"/>
    </row>
    <row r="644" spans="1:21" ht="31.5" x14ac:dyDescent="0.2">
      <c r="A644" s="169" t="s">
        <v>215</v>
      </c>
      <c r="B644" s="170" t="s">
        <v>449</v>
      </c>
      <c r="C644" s="171">
        <v>1</v>
      </c>
      <c r="D644" s="183"/>
      <c r="E644" s="183"/>
      <c r="F644" s="183"/>
      <c r="G644" s="184" t="s">
        <v>705</v>
      </c>
      <c r="H644" s="151"/>
      <c r="I644" s="151"/>
      <c r="J644" s="151"/>
      <c r="K644" s="151"/>
      <c r="L644" s="156"/>
      <c r="M644" s="157"/>
      <c r="N644" s="157"/>
      <c r="O644" s="157"/>
      <c r="P644" s="157"/>
      <c r="Q644" s="157"/>
      <c r="R644" s="157"/>
      <c r="S644" s="157"/>
      <c r="T644" s="158"/>
      <c r="U644" s="168"/>
    </row>
    <row r="645" spans="1:21" ht="12.75" x14ac:dyDescent="0.2">
      <c r="A645" s="169"/>
      <c r="B645" s="170" t="s">
        <v>898</v>
      </c>
      <c r="C645" s="171">
        <v>1</v>
      </c>
      <c r="D645" s="183"/>
      <c r="E645" s="183"/>
      <c r="F645" s="183"/>
      <c r="G645" s="184" t="s">
        <v>704</v>
      </c>
      <c r="H645" s="151"/>
      <c r="I645" s="151"/>
      <c r="J645" s="151"/>
      <c r="K645" s="151"/>
      <c r="L645" s="156"/>
      <c r="M645" s="157"/>
      <c r="N645" s="157"/>
      <c r="O645" s="157"/>
      <c r="P645" s="157"/>
      <c r="Q645" s="157"/>
      <c r="R645" s="157"/>
      <c r="S645" s="157"/>
      <c r="T645" s="158"/>
      <c r="U645" s="168"/>
    </row>
    <row r="646" spans="1:21" ht="21" x14ac:dyDescent="0.2">
      <c r="A646" s="169" t="s">
        <v>216</v>
      </c>
      <c r="B646" s="170" t="s">
        <v>448</v>
      </c>
      <c r="C646" s="171">
        <v>1</v>
      </c>
      <c r="D646" s="183"/>
      <c r="E646" s="183"/>
      <c r="F646" s="183"/>
      <c r="G646" s="184" t="s">
        <v>705</v>
      </c>
      <c r="H646" s="151"/>
      <c r="I646" s="151"/>
      <c r="J646" s="151"/>
      <c r="K646" s="151"/>
      <c r="L646" s="156"/>
      <c r="M646" s="157"/>
      <c r="N646" s="157"/>
      <c r="O646" s="157"/>
      <c r="P646" s="157"/>
      <c r="Q646" s="157"/>
      <c r="R646" s="157"/>
      <c r="S646" s="157"/>
      <c r="T646" s="158"/>
      <c r="U646" s="168"/>
    </row>
    <row r="647" spans="1:21" ht="12.75" x14ac:dyDescent="0.2">
      <c r="A647" s="169"/>
      <c r="B647" s="170" t="s">
        <v>898</v>
      </c>
      <c r="C647" s="171">
        <v>1</v>
      </c>
      <c r="D647" s="183"/>
      <c r="E647" s="183"/>
      <c r="F647" s="183"/>
      <c r="G647" s="184" t="s">
        <v>704</v>
      </c>
      <c r="H647" s="151"/>
      <c r="I647" s="151"/>
      <c r="J647" s="151"/>
      <c r="K647" s="151"/>
      <c r="L647" s="156"/>
      <c r="M647" s="157"/>
      <c r="N647" s="157"/>
      <c r="O647" s="157"/>
      <c r="P647" s="157"/>
      <c r="Q647" s="157"/>
      <c r="R647" s="157"/>
      <c r="S647" s="157"/>
      <c r="T647" s="158"/>
      <c r="U647" s="168"/>
    </row>
    <row r="648" spans="1:21" ht="31.5" x14ac:dyDescent="0.2">
      <c r="A648" s="231" t="s">
        <v>217</v>
      </c>
      <c r="B648" s="170" t="s">
        <v>448</v>
      </c>
      <c r="C648" s="171">
        <v>1</v>
      </c>
      <c r="D648" s="183"/>
      <c r="E648" s="183"/>
      <c r="F648" s="183"/>
      <c r="G648" s="184" t="s">
        <v>705</v>
      </c>
      <c r="H648" s="151"/>
      <c r="I648" s="151"/>
      <c r="J648" s="151"/>
      <c r="K648" s="151"/>
      <c r="L648" s="156"/>
      <c r="M648" s="157"/>
      <c r="N648" s="157"/>
      <c r="O648" s="157"/>
      <c r="P648" s="157"/>
      <c r="Q648" s="157"/>
      <c r="R648" s="157"/>
      <c r="S648" s="157"/>
      <c r="T648" s="158"/>
      <c r="U648" s="168"/>
    </row>
    <row r="649" spans="1:21" ht="12.75" x14ac:dyDescent="0.2">
      <c r="A649" s="169"/>
      <c r="B649" s="170" t="s">
        <v>898</v>
      </c>
      <c r="C649" s="171">
        <v>1</v>
      </c>
      <c r="D649" s="188"/>
      <c r="E649" s="183"/>
      <c r="F649" s="183"/>
      <c r="G649" s="184" t="s">
        <v>704</v>
      </c>
      <c r="H649" s="151"/>
      <c r="I649" s="151"/>
      <c r="J649" s="151"/>
      <c r="K649" s="151"/>
      <c r="L649" s="156"/>
      <c r="M649" s="157"/>
      <c r="N649" s="157"/>
      <c r="O649" s="157"/>
      <c r="P649" s="157"/>
      <c r="Q649" s="157"/>
      <c r="R649" s="157"/>
      <c r="S649" s="157"/>
      <c r="T649" s="158"/>
      <c r="U649" s="168"/>
    </row>
    <row r="650" spans="1:21" ht="12.75" x14ac:dyDescent="0.2">
      <c r="A650" s="175"/>
      <c r="B650" s="170"/>
      <c r="C650" s="171"/>
      <c r="D650" s="183"/>
      <c r="E650" s="183"/>
      <c r="F650" s="183"/>
      <c r="G650" s="184"/>
      <c r="H650" s="151"/>
      <c r="I650" s="151"/>
      <c r="J650" s="151"/>
      <c r="K650" s="151"/>
      <c r="L650" s="156"/>
      <c r="M650" s="157"/>
      <c r="N650" s="157"/>
      <c r="O650" s="157"/>
      <c r="P650" s="157"/>
      <c r="Q650" s="157"/>
      <c r="R650" s="157"/>
      <c r="S650" s="157"/>
      <c r="T650" s="158"/>
      <c r="U650" s="168"/>
    </row>
    <row r="651" spans="1:21" ht="14.25" x14ac:dyDescent="0.2">
      <c r="A651" s="217" t="s">
        <v>263</v>
      </c>
      <c r="B651" s="186"/>
      <c r="C651" s="171"/>
      <c r="D651" s="183"/>
      <c r="E651" s="183"/>
      <c r="F651" s="183"/>
      <c r="G651" s="184"/>
      <c r="H651" s="151"/>
      <c r="I651" s="151"/>
      <c r="J651" s="151"/>
      <c r="K651" s="151"/>
      <c r="L651" s="156"/>
      <c r="M651" s="157"/>
      <c r="N651" s="157"/>
      <c r="O651" s="157"/>
      <c r="P651" s="157"/>
      <c r="Q651" s="157"/>
      <c r="R651" s="157"/>
      <c r="S651" s="157"/>
      <c r="T651" s="158"/>
      <c r="U651" s="168"/>
    </row>
    <row r="652" spans="1:21" ht="21" x14ac:dyDescent="0.2">
      <c r="A652" s="231" t="s">
        <v>295</v>
      </c>
      <c r="B652" s="170" t="s">
        <v>837</v>
      </c>
      <c r="C652" s="171">
        <v>1</v>
      </c>
      <c r="D652" s="218"/>
      <c r="E652" s="218"/>
      <c r="F652" s="218"/>
      <c r="G652" s="219" t="s">
        <v>705</v>
      </c>
      <c r="H652" s="151"/>
      <c r="I652" s="151"/>
      <c r="J652" s="151"/>
      <c r="K652" s="151"/>
      <c r="L652" s="156"/>
      <c r="M652" s="157"/>
      <c r="N652" s="157"/>
      <c r="O652" s="157"/>
      <c r="P652" s="157"/>
      <c r="Q652" s="157"/>
      <c r="R652" s="157"/>
      <c r="S652" s="157"/>
      <c r="T652" s="158"/>
      <c r="U652" s="168"/>
    </row>
    <row r="653" spans="1:21" ht="12.75" x14ac:dyDescent="0.2">
      <c r="A653" s="169"/>
      <c r="B653" s="170" t="s">
        <v>898</v>
      </c>
      <c r="C653" s="171">
        <v>1</v>
      </c>
      <c r="D653" s="183"/>
      <c r="E653" s="183"/>
      <c r="F653" s="183"/>
      <c r="G653" s="184" t="s">
        <v>704</v>
      </c>
      <c r="H653" s="151"/>
      <c r="I653" s="151"/>
      <c r="J653" s="151"/>
      <c r="K653" s="151"/>
      <c r="L653" s="156"/>
      <c r="M653" s="157"/>
      <c r="N653" s="157"/>
      <c r="O653" s="157"/>
      <c r="P653" s="157"/>
      <c r="Q653" s="157"/>
      <c r="R653" s="157"/>
      <c r="S653" s="157"/>
      <c r="T653" s="158"/>
      <c r="U653" s="168"/>
    </row>
    <row r="654" spans="1:21" ht="12.75" x14ac:dyDescent="0.2">
      <c r="A654" s="253" t="s">
        <v>296</v>
      </c>
      <c r="B654" s="170" t="s">
        <v>837</v>
      </c>
      <c r="C654" s="171">
        <v>1</v>
      </c>
      <c r="D654" s="183"/>
      <c r="E654" s="183"/>
      <c r="F654" s="183"/>
      <c r="G654" s="184" t="s">
        <v>705</v>
      </c>
      <c r="H654" s="151"/>
      <c r="I654" s="151"/>
      <c r="J654" s="151"/>
      <c r="K654" s="151"/>
      <c r="L654" s="156"/>
      <c r="M654" s="157"/>
      <c r="N654" s="157"/>
      <c r="O654" s="157"/>
      <c r="P654" s="157"/>
      <c r="Q654" s="157"/>
      <c r="R654" s="157"/>
      <c r="S654" s="157"/>
      <c r="T654" s="158"/>
      <c r="U654" s="168"/>
    </row>
    <row r="655" spans="1:21" ht="12.75" x14ac:dyDescent="0.2">
      <c r="A655" s="175"/>
      <c r="B655" s="170" t="s">
        <v>898</v>
      </c>
      <c r="C655" s="171">
        <v>1</v>
      </c>
      <c r="D655" s="183"/>
      <c r="E655" s="183"/>
      <c r="F655" s="183"/>
      <c r="G655" s="184" t="s">
        <v>704</v>
      </c>
      <c r="H655" s="151"/>
      <c r="I655" s="151"/>
      <c r="J655" s="151"/>
      <c r="K655" s="151"/>
      <c r="L655" s="156"/>
      <c r="M655" s="157"/>
      <c r="N655" s="157"/>
      <c r="O655" s="157"/>
      <c r="P655" s="157"/>
      <c r="Q655" s="157"/>
      <c r="R655" s="157"/>
      <c r="S655" s="157"/>
      <c r="T655" s="158"/>
      <c r="U655" s="168"/>
    </row>
    <row r="656" spans="1:21" ht="12.75" x14ac:dyDescent="0.2">
      <c r="A656" s="253" t="s">
        <v>297</v>
      </c>
      <c r="B656" s="170" t="s">
        <v>837</v>
      </c>
      <c r="C656" s="171">
        <v>1</v>
      </c>
      <c r="D656" s="183"/>
      <c r="E656" s="183"/>
      <c r="F656" s="183"/>
      <c r="G656" s="184" t="s">
        <v>705</v>
      </c>
      <c r="H656" s="151"/>
      <c r="I656" s="151"/>
      <c r="J656" s="151"/>
      <c r="K656" s="151"/>
      <c r="L656" s="156"/>
      <c r="M656" s="157"/>
      <c r="N656" s="157"/>
      <c r="O656" s="157"/>
      <c r="P656" s="157"/>
      <c r="Q656" s="157"/>
      <c r="R656" s="157"/>
      <c r="S656" s="157"/>
      <c r="T656" s="158"/>
      <c r="U656" s="168"/>
    </row>
    <row r="657" spans="1:21" ht="12.75" x14ac:dyDescent="0.2">
      <c r="A657" s="175"/>
      <c r="B657" s="170" t="s">
        <v>898</v>
      </c>
      <c r="C657" s="171">
        <v>1</v>
      </c>
      <c r="D657" s="183"/>
      <c r="E657" s="183"/>
      <c r="F657" s="183"/>
      <c r="G657" s="184" t="s">
        <v>704</v>
      </c>
      <c r="H657" s="151"/>
      <c r="I657" s="151"/>
      <c r="J657" s="151"/>
      <c r="K657" s="151"/>
      <c r="L657" s="156"/>
      <c r="M657" s="157"/>
      <c r="N657" s="157"/>
      <c r="O657" s="157"/>
      <c r="P657" s="157"/>
      <c r="Q657" s="157"/>
      <c r="R657" s="157"/>
      <c r="S657" s="157"/>
      <c r="T657" s="158"/>
      <c r="U657" s="168"/>
    </row>
    <row r="658" spans="1:21" ht="12.75" x14ac:dyDescent="0.2">
      <c r="A658" s="231" t="s">
        <v>298</v>
      </c>
      <c r="B658" s="170" t="s">
        <v>837</v>
      </c>
      <c r="C658" s="171">
        <v>1</v>
      </c>
      <c r="D658" s="183"/>
      <c r="E658" s="183"/>
      <c r="F658" s="183"/>
      <c r="G658" s="184" t="s">
        <v>705</v>
      </c>
      <c r="H658" s="151"/>
      <c r="I658" s="151"/>
      <c r="J658" s="151"/>
      <c r="K658" s="151"/>
      <c r="L658" s="156"/>
      <c r="M658" s="157"/>
      <c r="N658" s="157"/>
      <c r="O658" s="157"/>
      <c r="P658" s="157"/>
      <c r="Q658" s="157"/>
      <c r="R658" s="157"/>
      <c r="S658" s="157"/>
      <c r="T658" s="158"/>
      <c r="U658" s="168"/>
    </row>
    <row r="659" spans="1:21" ht="12.75" x14ac:dyDescent="0.2">
      <c r="A659" s="175"/>
      <c r="B659" s="170" t="s">
        <v>898</v>
      </c>
      <c r="C659" s="171">
        <v>1</v>
      </c>
      <c r="D659" s="183"/>
      <c r="E659" s="183"/>
      <c r="F659" s="183"/>
      <c r="G659" s="184" t="s">
        <v>704</v>
      </c>
      <c r="H659" s="151"/>
      <c r="I659" s="151"/>
      <c r="J659" s="151"/>
      <c r="K659" s="151"/>
      <c r="L659" s="156"/>
      <c r="M659" s="157"/>
      <c r="N659" s="157"/>
      <c r="O659" s="157"/>
      <c r="P659" s="157"/>
      <c r="Q659" s="157"/>
      <c r="R659" s="157"/>
      <c r="S659" s="157"/>
      <c r="T659" s="158"/>
      <c r="U659" s="168"/>
    </row>
    <row r="660" spans="1:21" ht="12.75" x14ac:dyDescent="0.2">
      <c r="A660" s="253" t="s">
        <v>296</v>
      </c>
      <c r="B660" s="170" t="s">
        <v>837</v>
      </c>
      <c r="C660" s="171">
        <v>1</v>
      </c>
      <c r="D660" s="183"/>
      <c r="E660" s="183"/>
      <c r="F660" s="183"/>
      <c r="G660" s="184" t="s">
        <v>705</v>
      </c>
      <c r="H660" s="151"/>
      <c r="I660" s="151"/>
      <c r="J660" s="151"/>
      <c r="K660" s="151"/>
      <c r="L660" s="156"/>
      <c r="M660" s="157"/>
      <c r="N660" s="157"/>
      <c r="O660" s="157"/>
      <c r="P660" s="157"/>
      <c r="Q660" s="157"/>
      <c r="R660" s="157"/>
      <c r="S660" s="157"/>
      <c r="T660" s="158"/>
      <c r="U660" s="168"/>
    </row>
    <row r="661" spans="1:21" ht="12.75" x14ac:dyDescent="0.2">
      <c r="A661" s="175"/>
      <c r="B661" s="170" t="s">
        <v>898</v>
      </c>
      <c r="C661" s="171">
        <v>1</v>
      </c>
      <c r="D661" s="183"/>
      <c r="E661" s="183"/>
      <c r="F661" s="183"/>
      <c r="G661" s="184" t="s">
        <v>704</v>
      </c>
      <c r="H661" s="151"/>
      <c r="I661" s="151"/>
      <c r="J661" s="151"/>
      <c r="K661" s="151"/>
      <c r="L661" s="156"/>
      <c r="M661" s="157"/>
      <c r="N661" s="157"/>
      <c r="O661" s="157"/>
      <c r="P661" s="157"/>
      <c r="Q661" s="157"/>
      <c r="R661" s="157"/>
      <c r="S661" s="157"/>
      <c r="T661" s="158"/>
      <c r="U661" s="168"/>
    </row>
    <row r="662" spans="1:21" ht="12.75" x14ac:dyDescent="0.2">
      <c r="A662" s="253" t="s">
        <v>297</v>
      </c>
      <c r="B662" s="170" t="s">
        <v>837</v>
      </c>
      <c r="C662" s="171">
        <v>1</v>
      </c>
      <c r="D662" s="183"/>
      <c r="E662" s="183"/>
      <c r="F662" s="183"/>
      <c r="G662" s="184" t="s">
        <v>705</v>
      </c>
      <c r="H662" s="151"/>
      <c r="I662" s="151"/>
      <c r="J662" s="151"/>
      <c r="K662" s="151"/>
      <c r="L662" s="156"/>
      <c r="M662" s="157"/>
      <c r="N662" s="157"/>
      <c r="O662" s="157"/>
      <c r="P662" s="157"/>
      <c r="Q662" s="157"/>
      <c r="R662" s="157"/>
      <c r="S662" s="157"/>
      <c r="T662" s="158"/>
      <c r="U662" s="168"/>
    </row>
    <row r="663" spans="1:21" ht="12.75" x14ac:dyDescent="0.2">
      <c r="A663" s="175"/>
      <c r="B663" s="170" t="s">
        <v>898</v>
      </c>
      <c r="C663" s="171">
        <v>1</v>
      </c>
      <c r="D663" s="183"/>
      <c r="E663" s="183"/>
      <c r="F663" s="183"/>
      <c r="G663" s="184" t="s">
        <v>704</v>
      </c>
      <c r="H663" s="151"/>
      <c r="I663" s="151"/>
      <c r="J663" s="151"/>
      <c r="K663" s="151"/>
      <c r="L663" s="156"/>
      <c r="M663" s="157"/>
      <c r="N663" s="157"/>
      <c r="O663" s="157"/>
      <c r="P663" s="157"/>
      <c r="Q663" s="157"/>
      <c r="R663" s="157"/>
      <c r="S663" s="157"/>
      <c r="T663" s="158"/>
      <c r="U663" s="168"/>
    </row>
    <row r="664" spans="1:21" ht="21" x14ac:dyDescent="0.2">
      <c r="A664" s="169" t="s">
        <v>299</v>
      </c>
      <c r="B664" s="170" t="s">
        <v>837</v>
      </c>
      <c r="C664" s="171">
        <v>1</v>
      </c>
      <c r="D664" s="183"/>
      <c r="E664" s="183"/>
      <c r="F664" s="183"/>
      <c r="G664" s="184" t="s">
        <v>705</v>
      </c>
      <c r="H664" s="151"/>
      <c r="I664" s="151"/>
      <c r="J664" s="151"/>
      <c r="K664" s="151"/>
      <c r="L664" s="156"/>
      <c r="M664" s="157"/>
      <c r="N664" s="157"/>
      <c r="O664" s="157"/>
      <c r="P664" s="157"/>
      <c r="Q664" s="157"/>
      <c r="R664" s="157"/>
      <c r="S664" s="157"/>
      <c r="T664" s="158"/>
      <c r="U664" s="168"/>
    </row>
    <row r="665" spans="1:21" ht="12.75" x14ac:dyDescent="0.2">
      <c r="A665" s="231"/>
      <c r="B665" s="170" t="s">
        <v>898</v>
      </c>
      <c r="C665" s="171">
        <v>1</v>
      </c>
      <c r="D665" s="183"/>
      <c r="E665" s="183"/>
      <c r="F665" s="183"/>
      <c r="G665" s="184" t="s">
        <v>704</v>
      </c>
      <c r="H665" s="151"/>
      <c r="I665" s="151"/>
      <c r="J665" s="151"/>
      <c r="K665" s="151"/>
      <c r="L665" s="156"/>
      <c r="M665" s="157"/>
      <c r="N665" s="157"/>
      <c r="O665" s="157"/>
      <c r="P665" s="157"/>
      <c r="Q665" s="157"/>
      <c r="R665" s="157"/>
      <c r="S665" s="157"/>
      <c r="T665" s="158"/>
      <c r="U665" s="168"/>
    </row>
    <row r="666" spans="1:21" ht="12.75" x14ac:dyDescent="0.2">
      <c r="A666" s="169" t="s">
        <v>298</v>
      </c>
      <c r="B666" s="170" t="s">
        <v>837</v>
      </c>
      <c r="C666" s="171">
        <v>1</v>
      </c>
      <c r="D666" s="183"/>
      <c r="E666" s="183"/>
      <c r="F666" s="183"/>
      <c r="G666" s="184" t="s">
        <v>705</v>
      </c>
      <c r="H666" s="151"/>
      <c r="I666" s="151"/>
      <c r="J666" s="151"/>
      <c r="K666" s="151"/>
      <c r="L666" s="156"/>
      <c r="M666" s="157"/>
      <c r="N666" s="157"/>
      <c r="O666" s="157"/>
      <c r="P666" s="157"/>
      <c r="Q666" s="157"/>
      <c r="R666" s="157"/>
      <c r="S666" s="157"/>
      <c r="T666" s="158"/>
      <c r="U666" s="168"/>
    </row>
    <row r="667" spans="1:21" ht="12.75" x14ac:dyDescent="0.2">
      <c r="A667" s="231"/>
      <c r="B667" s="170" t="s">
        <v>898</v>
      </c>
      <c r="C667" s="171">
        <v>1</v>
      </c>
      <c r="D667" s="183"/>
      <c r="E667" s="183"/>
      <c r="F667" s="183"/>
      <c r="G667" s="184" t="s">
        <v>704</v>
      </c>
      <c r="H667" s="151"/>
      <c r="I667" s="151"/>
      <c r="J667" s="151"/>
      <c r="K667" s="151"/>
      <c r="L667" s="156"/>
      <c r="M667" s="157"/>
      <c r="N667" s="157"/>
      <c r="O667" s="157"/>
      <c r="P667" s="157"/>
      <c r="Q667" s="157"/>
      <c r="R667" s="157"/>
      <c r="S667" s="157"/>
      <c r="T667" s="158"/>
      <c r="U667" s="168"/>
    </row>
    <row r="668" spans="1:21" ht="21" x14ac:dyDescent="0.2">
      <c r="A668" s="169" t="s">
        <v>266</v>
      </c>
      <c r="B668" s="170" t="s">
        <v>837</v>
      </c>
      <c r="C668" s="171">
        <v>1</v>
      </c>
      <c r="D668" s="183"/>
      <c r="E668" s="183"/>
      <c r="F668" s="183"/>
      <c r="G668" s="184" t="s">
        <v>705</v>
      </c>
      <c r="H668" s="151"/>
      <c r="I668" s="151"/>
      <c r="J668" s="151"/>
      <c r="K668" s="151"/>
      <c r="L668" s="156"/>
      <c r="M668" s="157"/>
      <c r="N668" s="157"/>
      <c r="O668" s="157"/>
      <c r="P668" s="157"/>
      <c r="Q668" s="157"/>
      <c r="R668" s="157"/>
      <c r="S668" s="157"/>
      <c r="T668" s="158"/>
      <c r="U668" s="168"/>
    </row>
    <row r="669" spans="1:21" ht="12.75" x14ac:dyDescent="0.2">
      <c r="A669" s="231"/>
      <c r="B669" s="170" t="s">
        <v>898</v>
      </c>
      <c r="C669" s="171">
        <v>1</v>
      </c>
      <c r="D669" s="183"/>
      <c r="E669" s="183"/>
      <c r="F669" s="183"/>
      <c r="G669" s="184" t="s">
        <v>704</v>
      </c>
      <c r="H669" s="151"/>
      <c r="I669" s="151"/>
      <c r="J669" s="151"/>
      <c r="K669" s="151"/>
      <c r="L669" s="156"/>
      <c r="M669" s="157"/>
      <c r="N669" s="157"/>
      <c r="O669" s="157"/>
      <c r="P669" s="157"/>
      <c r="Q669" s="157"/>
      <c r="R669" s="157"/>
      <c r="S669" s="157"/>
      <c r="T669" s="158"/>
      <c r="U669" s="168"/>
    </row>
    <row r="670" spans="1:21" ht="21" x14ac:dyDescent="0.2">
      <c r="A670" s="231" t="s">
        <v>300</v>
      </c>
      <c r="B670" s="170" t="s">
        <v>152</v>
      </c>
      <c r="C670" s="171">
        <v>1</v>
      </c>
      <c r="D670" s="183"/>
      <c r="E670" s="183"/>
      <c r="F670" s="183"/>
      <c r="G670" s="184" t="s">
        <v>705</v>
      </c>
      <c r="H670" s="151"/>
      <c r="I670" s="151"/>
      <c r="J670" s="151"/>
      <c r="K670" s="151"/>
      <c r="L670" s="156"/>
      <c r="M670" s="157"/>
      <c r="N670" s="157"/>
      <c r="O670" s="157"/>
      <c r="P670" s="157"/>
      <c r="Q670" s="157"/>
      <c r="R670" s="157"/>
      <c r="S670" s="157"/>
      <c r="T670" s="158"/>
      <c r="U670" s="168"/>
    </row>
    <row r="671" spans="1:21" ht="12.75" x14ac:dyDescent="0.2">
      <c r="A671" s="169"/>
      <c r="B671" s="170" t="s">
        <v>898</v>
      </c>
      <c r="C671" s="171">
        <v>1</v>
      </c>
      <c r="D671" s="183"/>
      <c r="E671" s="183"/>
      <c r="F671" s="183"/>
      <c r="G671" s="184" t="s">
        <v>704</v>
      </c>
      <c r="H671" s="151"/>
      <c r="I671" s="151"/>
      <c r="J671" s="151"/>
      <c r="K671" s="151"/>
      <c r="L671" s="156"/>
      <c r="M671" s="157"/>
      <c r="N671" s="157"/>
      <c r="O671" s="157"/>
      <c r="P671" s="157"/>
      <c r="Q671" s="157"/>
      <c r="R671" s="157"/>
      <c r="S671" s="157"/>
      <c r="T671" s="158"/>
      <c r="U671" s="168"/>
    </row>
    <row r="672" spans="1:21" ht="12.75" x14ac:dyDescent="0.2">
      <c r="A672" s="253" t="s">
        <v>296</v>
      </c>
      <c r="B672" s="170" t="s">
        <v>152</v>
      </c>
      <c r="C672" s="171">
        <v>1</v>
      </c>
      <c r="D672" s="183"/>
      <c r="E672" s="183"/>
      <c r="F672" s="183"/>
      <c r="G672" s="184" t="s">
        <v>705</v>
      </c>
      <c r="H672" s="151"/>
      <c r="I672" s="151"/>
      <c r="J672" s="151"/>
      <c r="K672" s="151"/>
      <c r="L672" s="156"/>
      <c r="M672" s="157"/>
      <c r="N672" s="157"/>
      <c r="O672" s="157"/>
      <c r="P672" s="157"/>
      <c r="Q672" s="157"/>
      <c r="R672" s="157"/>
      <c r="S672" s="157"/>
      <c r="T672" s="158"/>
      <c r="U672" s="168"/>
    </row>
    <row r="673" spans="1:21" ht="12.75" x14ac:dyDescent="0.2">
      <c r="A673" s="175"/>
      <c r="B673" s="170" t="s">
        <v>898</v>
      </c>
      <c r="C673" s="171">
        <v>1</v>
      </c>
      <c r="D673" s="183"/>
      <c r="E673" s="183"/>
      <c r="F673" s="183"/>
      <c r="G673" s="184" t="s">
        <v>704</v>
      </c>
      <c r="H673" s="151"/>
      <c r="I673" s="151"/>
      <c r="J673" s="151"/>
      <c r="K673" s="151"/>
      <c r="L673" s="156"/>
      <c r="M673" s="157"/>
      <c r="N673" s="157"/>
      <c r="O673" s="157"/>
      <c r="P673" s="157"/>
      <c r="Q673" s="157"/>
      <c r="R673" s="157"/>
      <c r="S673" s="157"/>
      <c r="T673" s="158"/>
      <c r="U673" s="168"/>
    </row>
    <row r="674" spans="1:21" ht="12.75" x14ac:dyDescent="0.2">
      <c r="A674" s="254" t="s">
        <v>297</v>
      </c>
      <c r="B674" s="170" t="s">
        <v>152</v>
      </c>
      <c r="C674" s="171">
        <v>1</v>
      </c>
      <c r="D674" s="183"/>
      <c r="E674" s="183"/>
      <c r="F674" s="183"/>
      <c r="G674" s="184" t="s">
        <v>705</v>
      </c>
      <c r="H674" s="151"/>
      <c r="I674" s="151"/>
      <c r="J674" s="151"/>
      <c r="K674" s="151"/>
      <c r="L674" s="156"/>
      <c r="M674" s="157"/>
      <c r="N674" s="157"/>
      <c r="O674" s="157"/>
      <c r="P674" s="157"/>
      <c r="Q674" s="157"/>
      <c r="R674" s="157"/>
      <c r="S674" s="157"/>
      <c r="T674" s="158"/>
      <c r="U674" s="168"/>
    </row>
    <row r="675" spans="1:21" ht="12.75" x14ac:dyDescent="0.2">
      <c r="A675" s="175"/>
      <c r="B675" s="170" t="s">
        <v>898</v>
      </c>
      <c r="C675" s="171">
        <v>1</v>
      </c>
      <c r="D675" s="183"/>
      <c r="E675" s="183"/>
      <c r="F675" s="183"/>
      <c r="G675" s="184" t="s">
        <v>704</v>
      </c>
      <c r="H675" s="151"/>
      <c r="I675" s="151"/>
      <c r="J675" s="151"/>
      <c r="K675" s="151"/>
      <c r="L675" s="156"/>
      <c r="M675" s="157"/>
      <c r="N675" s="157"/>
      <c r="O675" s="157"/>
      <c r="P675" s="157"/>
      <c r="Q675" s="157"/>
      <c r="R675" s="157"/>
      <c r="S675" s="157"/>
      <c r="T675" s="158"/>
      <c r="U675" s="168"/>
    </row>
    <row r="676" spans="1:21" ht="12.75" x14ac:dyDescent="0.2">
      <c r="A676" s="231" t="s">
        <v>314</v>
      </c>
      <c r="B676" s="170" t="s">
        <v>152</v>
      </c>
      <c r="C676" s="171">
        <v>1</v>
      </c>
      <c r="D676" s="183"/>
      <c r="E676" s="183"/>
      <c r="F676" s="183"/>
      <c r="G676" s="184" t="s">
        <v>705</v>
      </c>
      <c r="H676" s="151"/>
      <c r="I676" s="151"/>
      <c r="J676" s="151"/>
      <c r="K676" s="151"/>
      <c r="L676" s="156"/>
      <c r="M676" s="157"/>
      <c r="N676" s="157"/>
      <c r="O676" s="157"/>
      <c r="P676" s="157"/>
      <c r="Q676" s="157"/>
      <c r="R676" s="157"/>
      <c r="S676" s="157"/>
      <c r="T676" s="158"/>
      <c r="U676" s="168"/>
    </row>
    <row r="677" spans="1:21" ht="12.75" x14ac:dyDescent="0.2">
      <c r="A677" s="231"/>
      <c r="B677" s="170" t="s">
        <v>898</v>
      </c>
      <c r="C677" s="171">
        <v>1</v>
      </c>
      <c r="D677" s="183"/>
      <c r="E677" s="183"/>
      <c r="F677" s="183"/>
      <c r="G677" s="184" t="s">
        <v>704</v>
      </c>
      <c r="H677" s="151"/>
      <c r="I677" s="151"/>
      <c r="J677" s="151"/>
      <c r="K677" s="151"/>
      <c r="L677" s="156"/>
      <c r="M677" s="157"/>
      <c r="N677" s="157"/>
      <c r="O677" s="157"/>
      <c r="P677" s="157"/>
      <c r="Q677" s="157"/>
      <c r="R677" s="157"/>
      <c r="S677" s="157"/>
      <c r="T677" s="158"/>
      <c r="U677" s="168"/>
    </row>
    <row r="678" spans="1:21" ht="21" x14ac:dyDescent="0.2">
      <c r="A678" s="231" t="s">
        <v>284</v>
      </c>
      <c r="B678" s="170" t="s">
        <v>152</v>
      </c>
      <c r="C678" s="171">
        <v>1</v>
      </c>
      <c r="D678" s="183"/>
      <c r="E678" s="183"/>
      <c r="F678" s="183"/>
      <c r="G678" s="184" t="s">
        <v>705</v>
      </c>
      <c r="H678" s="151"/>
      <c r="I678" s="151"/>
      <c r="J678" s="151"/>
      <c r="K678" s="151"/>
      <c r="L678" s="156"/>
      <c r="M678" s="157"/>
      <c r="N678" s="157"/>
      <c r="O678" s="157"/>
      <c r="P678" s="157"/>
      <c r="Q678" s="157"/>
      <c r="R678" s="157"/>
      <c r="S678" s="157"/>
      <c r="T678" s="158"/>
      <c r="U678" s="168"/>
    </row>
    <row r="679" spans="1:21" ht="12.75" x14ac:dyDescent="0.2">
      <c r="A679" s="231"/>
      <c r="B679" s="170" t="s">
        <v>898</v>
      </c>
      <c r="C679" s="171">
        <v>1</v>
      </c>
      <c r="D679" s="183"/>
      <c r="E679" s="183"/>
      <c r="F679" s="183"/>
      <c r="G679" s="184" t="s">
        <v>704</v>
      </c>
      <c r="H679" s="151"/>
      <c r="I679" s="151"/>
      <c r="J679" s="151"/>
      <c r="K679" s="151"/>
      <c r="L679" s="156"/>
      <c r="M679" s="157"/>
      <c r="N679" s="157"/>
      <c r="O679" s="157"/>
      <c r="P679" s="157"/>
      <c r="Q679" s="157"/>
      <c r="R679" s="157"/>
      <c r="S679" s="157"/>
      <c r="T679" s="158"/>
      <c r="U679" s="168"/>
    </row>
    <row r="680" spans="1:21" ht="21" x14ac:dyDescent="0.2">
      <c r="A680" s="255" t="s">
        <v>570</v>
      </c>
      <c r="B680" s="170" t="s">
        <v>334</v>
      </c>
      <c r="C680" s="171">
        <v>1</v>
      </c>
      <c r="D680" s="181"/>
      <c r="E680" s="181"/>
      <c r="F680" s="181"/>
      <c r="G680" s="184" t="s">
        <v>706</v>
      </c>
      <c r="H680" s="151"/>
      <c r="I680" s="151"/>
      <c r="J680" s="151"/>
      <c r="K680" s="151"/>
      <c r="L680" s="156"/>
      <c r="M680" s="157"/>
      <c r="N680" s="157"/>
      <c r="O680" s="157"/>
      <c r="P680" s="157"/>
      <c r="Q680" s="157"/>
      <c r="R680" s="157"/>
      <c r="S680" s="157"/>
      <c r="T680" s="158"/>
      <c r="U680" s="168"/>
    </row>
    <row r="681" spans="1:21" ht="18" x14ac:dyDescent="0.2">
      <c r="A681" s="253" t="s">
        <v>285</v>
      </c>
      <c r="B681" s="170" t="s">
        <v>334</v>
      </c>
      <c r="C681" s="171">
        <v>1</v>
      </c>
      <c r="D681" s="187"/>
      <c r="E681" s="187"/>
      <c r="F681" s="187"/>
      <c r="G681" s="184" t="s">
        <v>706</v>
      </c>
      <c r="H681" s="151"/>
      <c r="I681" s="151"/>
      <c r="J681" s="151"/>
      <c r="K681" s="151"/>
      <c r="L681" s="156"/>
      <c r="M681" s="157"/>
      <c r="N681" s="157"/>
      <c r="O681" s="157"/>
      <c r="P681" s="157"/>
      <c r="Q681" s="157"/>
      <c r="R681" s="157"/>
      <c r="S681" s="157"/>
      <c r="T681" s="158"/>
      <c r="U681" s="168"/>
    </row>
    <row r="682" spans="1:21" ht="18" x14ac:dyDescent="0.2">
      <c r="A682" s="175" t="s">
        <v>286</v>
      </c>
      <c r="B682" s="170" t="s">
        <v>334</v>
      </c>
      <c r="C682" s="171">
        <v>1</v>
      </c>
      <c r="D682" s="187"/>
      <c r="E682" s="187"/>
      <c r="F682" s="187"/>
      <c r="G682" s="184" t="s">
        <v>706</v>
      </c>
      <c r="H682" s="151"/>
      <c r="I682" s="151"/>
      <c r="J682" s="151"/>
      <c r="K682" s="151"/>
      <c r="L682" s="156"/>
      <c r="M682" s="157"/>
      <c r="N682" s="157"/>
      <c r="O682" s="157"/>
      <c r="P682" s="157"/>
      <c r="Q682" s="157"/>
      <c r="R682" s="157"/>
      <c r="S682" s="157"/>
      <c r="T682" s="158"/>
      <c r="U682" s="168"/>
    </row>
    <row r="683" spans="1:21" ht="18" x14ac:dyDescent="0.2">
      <c r="A683" s="253" t="s">
        <v>287</v>
      </c>
      <c r="B683" s="170" t="s">
        <v>334</v>
      </c>
      <c r="C683" s="171">
        <v>1</v>
      </c>
      <c r="D683" s="187"/>
      <c r="E683" s="187"/>
      <c r="F683" s="187"/>
      <c r="G683" s="184" t="s">
        <v>706</v>
      </c>
      <c r="H683" s="151"/>
      <c r="I683" s="151"/>
      <c r="J683" s="151"/>
      <c r="K683" s="151"/>
      <c r="L683" s="156"/>
      <c r="M683" s="157"/>
      <c r="N683" s="157"/>
      <c r="O683" s="157"/>
      <c r="P683" s="157"/>
      <c r="Q683" s="157"/>
      <c r="R683" s="157"/>
      <c r="S683" s="157"/>
      <c r="T683" s="158"/>
      <c r="U683" s="168"/>
    </row>
    <row r="684" spans="1:21" ht="18" x14ac:dyDescent="0.2">
      <c r="A684" s="175" t="s">
        <v>288</v>
      </c>
      <c r="B684" s="170" t="s">
        <v>334</v>
      </c>
      <c r="C684" s="171">
        <v>1</v>
      </c>
      <c r="D684" s="187"/>
      <c r="E684" s="187"/>
      <c r="F684" s="187"/>
      <c r="G684" s="184" t="s">
        <v>706</v>
      </c>
      <c r="H684" s="151"/>
      <c r="I684" s="151"/>
      <c r="J684" s="151"/>
      <c r="K684" s="151"/>
      <c r="L684" s="156"/>
      <c r="M684" s="157"/>
      <c r="N684" s="157"/>
      <c r="O684" s="157"/>
      <c r="P684" s="157"/>
      <c r="Q684" s="157"/>
      <c r="R684" s="157"/>
      <c r="S684" s="157"/>
      <c r="T684" s="158"/>
      <c r="U684" s="168"/>
    </row>
    <row r="685" spans="1:21" ht="18" x14ac:dyDescent="0.2">
      <c r="A685" s="175" t="s">
        <v>289</v>
      </c>
      <c r="B685" s="170" t="s">
        <v>334</v>
      </c>
      <c r="C685" s="171">
        <v>1</v>
      </c>
      <c r="D685" s="187"/>
      <c r="E685" s="187"/>
      <c r="F685" s="187"/>
      <c r="G685" s="184" t="s">
        <v>706</v>
      </c>
      <c r="H685" s="151"/>
      <c r="I685" s="151"/>
      <c r="J685" s="151"/>
      <c r="K685" s="151"/>
      <c r="L685" s="156"/>
      <c r="M685" s="157"/>
      <c r="N685" s="157"/>
      <c r="O685" s="157"/>
      <c r="P685" s="157"/>
      <c r="Q685" s="157"/>
      <c r="R685" s="157"/>
      <c r="S685" s="157"/>
      <c r="T685" s="158"/>
      <c r="U685" s="168"/>
    </row>
    <row r="686" spans="1:21" ht="18" x14ac:dyDescent="0.2">
      <c r="A686" s="175" t="s">
        <v>290</v>
      </c>
      <c r="B686" s="170" t="s">
        <v>334</v>
      </c>
      <c r="C686" s="171">
        <v>1</v>
      </c>
      <c r="D686" s="188"/>
      <c r="E686" s="188"/>
      <c r="F686" s="188"/>
      <c r="G686" s="184" t="s">
        <v>706</v>
      </c>
      <c r="H686" s="151"/>
      <c r="I686" s="151"/>
      <c r="J686" s="151"/>
      <c r="K686" s="151"/>
      <c r="L686" s="160"/>
      <c r="M686" s="161"/>
      <c r="N686" s="161"/>
      <c r="O686" s="161"/>
      <c r="P686" s="161"/>
      <c r="Q686" s="161"/>
      <c r="R686" s="161"/>
      <c r="S686" s="161"/>
      <c r="T686" s="162"/>
      <c r="U686" s="168"/>
    </row>
    <row r="687" spans="1:21" x14ac:dyDescent="0.2">
      <c r="A687" s="190"/>
      <c r="B687" s="190"/>
      <c r="C687" s="209"/>
      <c r="D687" s="256"/>
      <c r="E687" s="257"/>
      <c r="F687" s="209"/>
      <c r="G687" s="258"/>
      <c r="H687" s="259"/>
      <c r="I687" s="259"/>
      <c r="J687" s="259"/>
      <c r="K687" s="259"/>
      <c r="L687" s="259"/>
      <c r="M687" s="259"/>
      <c r="N687" s="259"/>
      <c r="O687" s="259"/>
      <c r="P687" s="259"/>
      <c r="Q687" s="259"/>
      <c r="R687" s="259"/>
      <c r="S687" s="259"/>
      <c r="T687" s="259"/>
      <c r="U687" s="168"/>
    </row>
    <row r="688" spans="1:21" x14ac:dyDescent="0.2">
      <c r="A688" s="190"/>
      <c r="B688" s="190"/>
      <c r="C688" s="209"/>
      <c r="D688" s="256"/>
      <c r="E688" s="257"/>
      <c r="F688" s="209"/>
      <c r="G688" s="258"/>
      <c r="H688" s="259"/>
      <c r="I688" s="259"/>
      <c r="J688" s="259"/>
      <c r="K688" s="259"/>
      <c r="L688" s="259"/>
      <c r="M688" s="259"/>
      <c r="N688" s="259"/>
      <c r="O688" s="259"/>
      <c r="P688" s="259"/>
      <c r="Q688" s="259"/>
      <c r="R688" s="259"/>
      <c r="S688" s="259"/>
      <c r="T688" s="259"/>
      <c r="U688" s="168"/>
    </row>
    <row r="689" spans="1:21" ht="12.75" x14ac:dyDescent="0.2">
      <c r="A689" s="595" t="s">
        <v>305</v>
      </c>
      <c r="B689" s="595"/>
      <c r="C689" s="595"/>
      <c r="D689" s="595"/>
      <c r="E689" s="595"/>
      <c r="F689" s="595"/>
      <c r="G689" s="595"/>
      <c r="H689" s="595"/>
      <c r="I689" s="595"/>
      <c r="J689" s="595"/>
      <c r="K689" s="595"/>
      <c r="L689" s="595"/>
      <c r="M689" s="595"/>
      <c r="N689" s="595"/>
      <c r="O689" s="595"/>
      <c r="P689" s="595"/>
      <c r="Q689" s="595"/>
      <c r="R689" s="595"/>
      <c r="S689" s="595"/>
      <c r="T689" s="595"/>
      <c r="U689" s="168"/>
    </row>
    <row r="690" spans="1:21" x14ac:dyDescent="0.2">
      <c r="A690" s="190"/>
      <c r="B690" s="190"/>
      <c r="C690" s="209"/>
      <c r="D690" s="256"/>
      <c r="E690" s="257"/>
      <c r="F690" s="209"/>
      <c r="G690" s="258"/>
      <c r="H690" s="259"/>
      <c r="I690" s="259"/>
      <c r="J690" s="259"/>
      <c r="K690" s="259"/>
      <c r="L690" s="259"/>
      <c r="M690" s="259"/>
      <c r="N690" s="259"/>
      <c r="O690" s="259"/>
      <c r="P690" s="259"/>
      <c r="Q690" s="259"/>
      <c r="R690" s="259"/>
      <c r="S690" s="259"/>
      <c r="T690" s="259"/>
      <c r="U690" s="168"/>
    </row>
    <row r="691" spans="1:21" x14ac:dyDescent="0.2">
      <c r="A691" s="190"/>
      <c r="B691" s="190"/>
      <c r="C691" s="209"/>
      <c r="D691" s="256"/>
      <c r="E691" s="257"/>
      <c r="F691" s="209"/>
      <c r="G691" s="258"/>
      <c r="H691" s="259"/>
      <c r="I691" s="259"/>
      <c r="J691" s="259"/>
      <c r="K691" s="259"/>
      <c r="L691" s="259"/>
      <c r="M691" s="259"/>
      <c r="N691" s="259"/>
      <c r="O691" s="259"/>
      <c r="P691" s="259"/>
      <c r="Q691" s="259"/>
      <c r="R691" s="259"/>
      <c r="S691" s="259"/>
      <c r="T691" s="259"/>
      <c r="U691" s="168"/>
    </row>
    <row r="692" spans="1:21" x14ac:dyDescent="0.2">
      <c r="A692" s="190"/>
      <c r="B692" s="190"/>
      <c r="C692" s="209"/>
      <c r="D692" s="256"/>
      <c r="E692" s="257"/>
      <c r="F692" s="209"/>
      <c r="G692" s="258"/>
      <c r="H692" s="259"/>
      <c r="I692" s="259"/>
      <c r="J692" s="259"/>
      <c r="K692" s="259"/>
      <c r="L692" s="259"/>
      <c r="M692" s="259"/>
      <c r="N692" s="259"/>
      <c r="O692" s="259"/>
      <c r="P692" s="259"/>
      <c r="Q692" s="259"/>
      <c r="R692" s="259"/>
      <c r="S692" s="259"/>
      <c r="T692" s="259"/>
      <c r="U692" s="168"/>
    </row>
    <row r="693" spans="1:21" x14ac:dyDescent="0.2">
      <c r="A693" s="190"/>
      <c r="B693" s="190"/>
      <c r="C693" s="209"/>
      <c r="D693" s="256"/>
      <c r="E693" s="257"/>
      <c r="F693" s="209"/>
      <c r="G693" s="258"/>
      <c r="H693" s="259"/>
      <c r="I693" s="259"/>
      <c r="J693" s="259"/>
      <c r="K693" s="259"/>
      <c r="L693" s="259"/>
      <c r="M693" s="259"/>
      <c r="N693" s="259"/>
      <c r="O693" s="259"/>
      <c r="P693" s="259"/>
      <c r="Q693" s="259"/>
      <c r="R693" s="259"/>
      <c r="S693" s="259"/>
      <c r="T693" s="259"/>
      <c r="U693" s="168"/>
    </row>
    <row r="694" spans="1:21" x14ac:dyDescent="0.2">
      <c r="A694" s="190"/>
      <c r="B694" s="190"/>
      <c r="C694" s="209"/>
      <c r="D694" s="256"/>
      <c r="E694" s="257"/>
      <c r="F694" s="209"/>
      <c r="G694" s="258"/>
      <c r="H694" s="259"/>
      <c r="I694" s="259"/>
      <c r="J694" s="259"/>
      <c r="K694" s="259"/>
      <c r="L694" s="259"/>
      <c r="M694" s="259"/>
      <c r="N694" s="259"/>
      <c r="O694" s="259"/>
      <c r="P694" s="259"/>
      <c r="Q694" s="259"/>
      <c r="R694" s="259"/>
      <c r="S694" s="259"/>
      <c r="T694" s="259"/>
      <c r="U694" s="168"/>
    </row>
    <row r="695" spans="1:21" x14ac:dyDescent="0.2">
      <c r="A695" s="190"/>
      <c r="B695" s="190"/>
      <c r="C695" s="209"/>
      <c r="D695" s="256"/>
      <c r="E695" s="257"/>
      <c r="F695" s="209"/>
      <c r="G695" s="258"/>
      <c r="H695" s="259"/>
      <c r="I695" s="259"/>
      <c r="J695" s="259"/>
      <c r="K695" s="259"/>
      <c r="L695" s="259"/>
      <c r="M695" s="259"/>
      <c r="N695" s="259"/>
      <c r="O695" s="259"/>
      <c r="P695" s="259"/>
      <c r="Q695" s="259"/>
      <c r="R695" s="259"/>
      <c r="S695" s="259"/>
      <c r="T695" s="259"/>
      <c r="U695" s="168"/>
    </row>
    <row r="696" spans="1:21" x14ac:dyDescent="0.2">
      <c r="A696" s="190"/>
      <c r="B696" s="190"/>
      <c r="C696" s="209"/>
      <c r="D696" s="256"/>
      <c r="E696" s="257"/>
      <c r="F696" s="209"/>
      <c r="G696" s="258"/>
      <c r="H696" s="259"/>
      <c r="I696" s="259"/>
      <c r="J696" s="259"/>
      <c r="K696" s="259"/>
      <c r="L696" s="259"/>
      <c r="M696" s="259"/>
      <c r="N696" s="259"/>
      <c r="O696" s="259"/>
      <c r="P696" s="259"/>
      <c r="Q696" s="259"/>
      <c r="R696" s="259"/>
      <c r="S696" s="259"/>
      <c r="T696" s="259"/>
      <c r="U696" s="168"/>
    </row>
    <row r="697" spans="1:21" x14ac:dyDescent="0.2">
      <c r="A697" s="190"/>
      <c r="B697" s="190"/>
      <c r="C697" s="209"/>
      <c r="D697" s="256"/>
      <c r="E697" s="257"/>
      <c r="F697" s="209"/>
      <c r="G697" s="258"/>
      <c r="H697" s="259"/>
      <c r="I697" s="259"/>
      <c r="J697" s="259"/>
      <c r="K697" s="259"/>
      <c r="L697" s="259"/>
      <c r="M697" s="259"/>
      <c r="N697" s="259"/>
      <c r="O697" s="259"/>
      <c r="P697" s="259"/>
      <c r="Q697" s="259"/>
      <c r="R697" s="259"/>
      <c r="S697" s="259"/>
      <c r="T697" s="259"/>
      <c r="U697" s="168"/>
    </row>
    <row r="698" spans="1:21" x14ac:dyDescent="0.2">
      <c r="A698" s="190"/>
      <c r="B698" s="190"/>
      <c r="C698" s="209"/>
      <c r="D698" s="256"/>
      <c r="E698" s="257"/>
      <c r="F698" s="209"/>
      <c r="G698" s="258"/>
      <c r="H698" s="259"/>
      <c r="I698" s="259"/>
      <c r="J698" s="259"/>
      <c r="K698" s="259"/>
      <c r="L698" s="259"/>
      <c r="M698" s="259"/>
      <c r="N698" s="259"/>
      <c r="O698" s="259"/>
      <c r="P698" s="259"/>
      <c r="Q698" s="259"/>
      <c r="R698" s="259"/>
      <c r="S698" s="259"/>
      <c r="T698" s="259"/>
      <c r="U698" s="168"/>
    </row>
    <row r="699" spans="1:21" x14ac:dyDescent="0.2">
      <c r="A699" s="190"/>
      <c r="B699" s="190"/>
      <c r="C699" s="209"/>
      <c r="D699" s="256"/>
      <c r="E699" s="257"/>
      <c r="F699" s="209"/>
      <c r="G699" s="258"/>
      <c r="H699" s="259"/>
      <c r="I699" s="259"/>
      <c r="J699" s="259"/>
      <c r="K699" s="259"/>
      <c r="L699" s="259"/>
      <c r="M699" s="259"/>
      <c r="N699" s="259"/>
      <c r="O699" s="259"/>
      <c r="P699" s="259"/>
      <c r="Q699" s="259"/>
      <c r="R699" s="259"/>
      <c r="S699" s="259"/>
      <c r="T699" s="259"/>
      <c r="U699" s="168"/>
    </row>
    <row r="700" spans="1:21" x14ac:dyDescent="0.2">
      <c r="A700" s="190"/>
      <c r="B700" s="190"/>
      <c r="C700" s="209"/>
      <c r="D700" s="256"/>
      <c r="E700" s="257"/>
      <c r="F700" s="209"/>
      <c r="G700" s="258"/>
      <c r="H700" s="259"/>
      <c r="I700" s="259"/>
      <c r="J700" s="259"/>
      <c r="K700" s="259"/>
      <c r="L700" s="259"/>
      <c r="M700" s="259"/>
      <c r="N700" s="259"/>
      <c r="O700" s="259"/>
      <c r="P700" s="259"/>
      <c r="Q700" s="259"/>
      <c r="R700" s="259"/>
      <c r="S700" s="259"/>
      <c r="T700" s="259"/>
      <c r="U700" s="168"/>
    </row>
    <row r="701" spans="1:21" x14ac:dyDescent="0.2">
      <c r="A701" s="190"/>
      <c r="B701" s="190"/>
      <c r="C701" s="209"/>
      <c r="D701" s="256"/>
      <c r="E701" s="257"/>
      <c r="F701" s="209"/>
      <c r="G701" s="258"/>
      <c r="H701" s="259"/>
      <c r="I701" s="259"/>
      <c r="J701" s="259"/>
      <c r="K701" s="259"/>
      <c r="L701" s="259"/>
      <c r="M701" s="259"/>
      <c r="N701" s="259"/>
      <c r="O701" s="259"/>
      <c r="P701" s="259"/>
      <c r="Q701" s="259"/>
      <c r="R701" s="259"/>
      <c r="S701" s="259"/>
      <c r="T701" s="259"/>
      <c r="U701" s="168"/>
    </row>
    <row r="702" spans="1:21" x14ac:dyDescent="0.2">
      <c r="A702" s="190"/>
      <c r="B702" s="190"/>
      <c r="C702" s="209"/>
      <c r="D702" s="256"/>
      <c r="E702" s="257"/>
      <c r="F702" s="209"/>
      <c r="G702" s="258"/>
      <c r="H702" s="259"/>
      <c r="I702" s="259"/>
      <c r="J702" s="259"/>
      <c r="K702" s="259"/>
      <c r="L702" s="259"/>
      <c r="M702" s="259"/>
      <c r="N702" s="259"/>
      <c r="O702" s="259"/>
      <c r="P702" s="259"/>
      <c r="Q702" s="259"/>
      <c r="R702" s="259"/>
      <c r="S702" s="259"/>
      <c r="T702" s="259"/>
      <c r="U702" s="168"/>
    </row>
    <row r="703" spans="1:21" x14ac:dyDescent="0.2">
      <c r="A703" s="190"/>
      <c r="B703" s="190"/>
      <c r="C703" s="209"/>
      <c r="D703" s="256"/>
      <c r="E703" s="257"/>
      <c r="F703" s="209"/>
      <c r="G703" s="258"/>
      <c r="H703" s="259"/>
      <c r="I703" s="259"/>
      <c r="J703" s="259"/>
      <c r="K703" s="259"/>
      <c r="L703" s="259"/>
      <c r="M703" s="259"/>
      <c r="N703" s="259"/>
      <c r="O703" s="259"/>
      <c r="P703" s="259"/>
      <c r="Q703" s="259"/>
      <c r="R703" s="259"/>
      <c r="S703" s="259"/>
      <c r="T703" s="259"/>
      <c r="U703" s="168"/>
    </row>
    <row r="704" spans="1:21" x14ac:dyDescent="0.2">
      <c r="A704" s="190"/>
      <c r="B704" s="190"/>
      <c r="C704" s="209"/>
      <c r="D704" s="256"/>
      <c r="E704" s="257"/>
      <c r="F704" s="209"/>
      <c r="G704" s="258"/>
      <c r="H704" s="259"/>
      <c r="I704" s="259"/>
      <c r="J704" s="259"/>
      <c r="K704" s="259"/>
      <c r="L704" s="259"/>
      <c r="M704" s="259"/>
      <c r="N704" s="259"/>
      <c r="O704" s="259"/>
      <c r="P704" s="259"/>
      <c r="Q704" s="259"/>
      <c r="R704" s="259"/>
      <c r="S704" s="259"/>
      <c r="T704" s="259"/>
      <c r="U704" s="168"/>
    </row>
    <row r="705" spans="1:21" x14ac:dyDescent="0.2">
      <c r="A705" s="190"/>
      <c r="B705" s="190"/>
      <c r="C705" s="209"/>
      <c r="D705" s="256"/>
      <c r="E705" s="257"/>
      <c r="F705" s="209"/>
      <c r="G705" s="258"/>
      <c r="H705" s="259"/>
      <c r="I705" s="259"/>
      <c r="J705" s="259"/>
      <c r="K705" s="259"/>
      <c r="L705" s="259"/>
      <c r="M705" s="259"/>
      <c r="N705" s="259"/>
      <c r="O705" s="259"/>
      <c r="P705" s="259"/>
      <c r="Q705" s="259"/>
      <c r="R705" s="259"/>
      <c r="S705" s="259"/>
      <c r="T705" s="259"/>
      <c r="U705" s="168"/>
    </row>
    <row r="706" spans="1:21" x14ac:dyDescent="0.2">
      <c r="A706" s="190"/>
      <c r="B706" s="190"/>
      <c r="C706" s="209"/>
      <c r="D706" s="256"/>
      <c r="E706" s="257"/>
      <c r="F706" s="209"/>
      <c r="G706" s="258"/>
      <c r="H706" s="259"/>
      <c r="I706" s="259"/>
      <c r="J706" s="259"/>
      <c r="K706" s="259"/>
      <c r="L706" s="259"/>
      <c r="M706" s="259"/>
      <c r="N706" s="259"/>
      <c r="O706" s="259"/>
      <c r="P706" s="259"/>
      <c r="Q706" s="259"/>
      <c r="R706" s="259"/>
      <c r="S706" s="259"/>
      <c r="T706" s="259"/>
      <c r="U706" s="168"/>
    </row>
    <row r="707" spans="1:21" x14ac:dyDescent="0.2">
      <c r="A707" s="190"/>
      <c r="B707" s="190"/>
      <c r="C707" s="209"/>
      <c r="D707" s="256"/>
      <c r="E707" s="257"/>
      <c r="F707" s="209"/>
      <c r="G707" s="258"/>
      <c r="H707" s="259"/>
      <c r="I707" s="259"/>
      <c r="J707" s="259"/>
      <c r="K707" s="259"/>
      <c r="L707" s="259"/>
      <c r="M707" s="259"/>
      <c r="N707" s="259"/>
      <c r="O707" s="259"/>
      <c r="P707" s="259"/>
      <c r="Q707" s="259"/>
      <c r="R707" s="259"/>
      <c r="S707" s="259"/>
      <c r="T707" s="259"/>
      <c r="U707" s="168"/>
    </row>
    <row r="708" spans="1:21" x14ac:dyDescent="0.2">
      <c r="A708" s="190"/>
      <c r="B708" s="190"/>
      <c r="C708" s="209"/>
      <c r="D708" s="256"/>
      <c r="E708" s="257"/>
      <c r="F708" s="209"/>
      <c r="G708" s="258"/>
      <c r="H708" s="259"/>
      <c r="I708" s="259"/>
      <c r="J708" s="259"/>
      <c r="K708" s="259"/>
      <c r="L708" s="259"/>
      <c r="M708" s="259"/>
      <c r="N708" s="259"/>
      <c r="O708" s="259"/>
      <c r="P708" s="259"/>
      <c r="Q708" s="259"/>
      <c r="R708" s="259"/>
      <c r="S708" s="259"/>
      <c r="T708" s="259"/>
      <c r="U708" s="168"/>
    </row>
    <row r="709" spans="1:21" x14ac:dyDescent="0.2">
      <c r="A709" s="190"/>
      <c r="B709" s="190"/>
      <c r="C709" s="209"/>
      <c r="D709" s="256"/>
      <c r="E709" s="257"/>
      <c r="F709" s="209"/>
      <c r="G709" s="258"/>
      <c r="H709" s="259"/>
      <c r="I709" s="259"/>
      <c r="J709" s="259"/>
      <c r="K709" s="259"/>
      <c r="L709" s="259"/>
      <c r="M709" s="259"/>
      <c r="N709" s="259"/>
      <c r="O709" s="259"/>
      <c r="P709" s="259"/>
      <c r="Q709" s="259"/>
      <c r="R709" s="259"/>
      <c r="S709" s="259"/>
      <c r="T709" s="259"/>
      <c r="U709" s="168"/>
    </row>
    <row r="710" spans="1:21" x14ac:dyDescent="0.2">
      <c r="A710" s="190"/>
      <c r="B710" s="190"/>
      <c r="C710" s="209"/>
      <c r="D710" s="256"/>
      <c r="E710" s="257"/>
      <c r="F710" s="209"/>
      <c r="G710" s="258"/>
      <c r="H710" s="259"/>
      <c r="I710" s="259"/>
      <c r="J710" s="259"/>
      <c r="K710" s="259"/>
      <c r="L710" s="259"/>
      <c r="M710" s="259"/>
      <c r="N710" s="259"/>
      <c r="O710" s="259"/>
      <c r="P710" s="259"/>
      <c r="Q710" s="259"/>
      <c r="R710" s="259"/>
      <c r="S710" s="259"/>
      <c r="T710" s="259"/>
      <c r="U710" s="168"/>
    </row>
    <row r="711" spans="1:21" x14ac:dyDescent="0.2">
      <c r="A711" s="190"/>
      <c r="B711" s="190"/>
      <c r="C711" s="209"/>
      <c r="D711" s="256"/>
      <c r="E711" s="257"/>
      <c r="F711" s="209"/>
      <c r="G711" s="258"/>
      <c r="H711" s="259"/>
      <c r="I711" s="259"/>
      <c r="J711" s="259"/>
      <c r="K711" s="259"/>
      <c r="L711" s="259"/>
      <c r="M711" s="259"/>
      <c r="N711" s="259"/>
      <c r="O711" s="259"/>
      <c r="P711" s="259"/>
      <c r="Q711" s="259"/>
      <c r="R711" s="259"/>
      <c r="S711" s="259"/>
      <c r="T711" s="259"/>
      <c r="U711" s="168"/>
    </row>
    <row r="712" spans="1:21" x14ac:dyDescent="0.2">
      <c r="A712" s="190"/>
      <c r="B712" s="190"/>
      <c r="C712" s="209"/>
      <c r="D712" s="256"/>
      <c r="E712" s="257"/>
      <c r="F712" s="209"/>
      <c r="G712" s="258"/>
      <c r="H712" s="259"/>
      <c r="I712" s="259"/>
      <c r="J712" s="259"/>
      <c r="K712" s="259"/>
      <c r="L712" s="259"/>
      <c r="M712" s="259"/>
      <c r="N712" s="259"/>
      <c r="O712" s="259"/>
      <c r="P712" s="259"/>
      <c r="Q712" s="259"/>
      <c r="R712" s="259"/>
      <c r="S712" s="259"/>
      <c r="T712" s="259"/>
      <c r="U712" s="168"/>
    </row>
    <row r="713" spans="1:21" x14ac:dyDescent="0.2">
      <c r="A713" s="190"/>
      <c r="B713" s="190"/>
      <c r="C713" s="209"/>
      <c r="D713" s="256"/>
      <c r="E713" s="257"/>
      <c r="F713" s="209"/>
      <c r="G713" s="258"/>
      <c r="H713" s="259"/>
      <c r="I713" s="259"/>
      <c r="J713" s="259"/>
      <c r="K713" s="259"/>
      <c r="L713" s="259"/>
      <c r="M713" s="259"/>
      <c r="N713" s="259"/>
      <c r="O713" s="259"/>
      <c r="P713" s="259"/>
      <c r="Q713" s="259"/>
      <c r="R713" s="259"/>
      <c r="S713" s="259"/>
      <c r="T713" s="259"/>
      <c r="U713" s="168"/>
    </row>
    <row r="714" spans="1:21" x14ac:dyDescent="0.2">
      <c r="A714" s="190"/>
      <c r="B714" s="190"/>
      <c r="C714" s="209"/>
      <c r="D714" s="256"/>
      <c r="E714" s="257"/>
      <c r="F714" s="209"/>
      <c r="G714" s="258"/>
      <c r="H714" s="259"/>
      <c r="I714" s="259"/>
      <c r="J714" s="259"/>
      <c r="K714" s="259"/>
      <c r="L714" s="259"/>
      <c r="M714" s="259"/>
      <c r="N714" s="259"/>
      <c r="O714" s="259"/>
      <c r="P714" s="259"/>
      <c r="Q714" s="259"/>
      <c r="R714" s="259"/>
      <c r="S714" s="259"/>
      <c r="T714" s="259"/>
      <c r="U714" s="168"/>
    </row>
    <row r="715" spans="1:21" x14ac:dyDescent="0.2">
      <c r="A715" s="190"/>
      <c r="B715" s="190"/>
      <c r="C715" s="209"/>
      <c r="D715" s="256"/>
      <c r="E715" s="257"/>
      <c r="F715" s="209"/>
      <c r="G715" s="258"/>
      <c r="H715" s="259"/>
      <c r="I715" s="259"/>
      <c r="J715" s="259"/>
      <c r="K715" s="259"/>
      <c r="L715" s="259"/>
      <c r="M715" s="259"/>
      <c r="N715" s="259"/>
      <c r="O715" s="259"/>
      <c r="P715" s="259"/>
      <c r="Q715" s="259"/>
      <c r="R715" s="259"/>
      <c r="S715" s="259"/>
      <c r="T715" s="259"/>
      <c r="U715" s="168"/>
    </row>
    <row r="716" spans="1:21" x14ac:dyDescent="0.2">
      <c r="A716" s="190"/>
      <c r="B716" s="190"/>
      <c r="C716" s="209"/>
      <c r="D716" s="256"/>
      <c r="E716" s="257"/>
      <c r="F716" s="209"/>
      <c r="G716" s="258"/>
      <c r="H716" s="259"/>
      <c r="I716" s="259"/>
      <c r="J716" s="259"/>
      <c r="K716" s="259"/>
      <c r="L716" s="259"/>
      <c r="M716" s="259"/>
      <c r="N716" s="259"/>
      <c r="O716" s="259"/>
      <c r="P716" s="259"/>
      <c r="Q716" s="259"/>
      <c r="R716" s="259"/>
      <c r="S716" s="259"/>
      <c r="T716" s="259"/>
      <c r="U716" s="168"/>
    </row>
    <row r="717" spans="1:21" x14ac:dyDescent="0.2">
      <c r="A717" s="190"/>
      <c r="B717" s="190"/>
      <c r="C717" s="209"/>
      <c r="D717" s="256"/>
      <c r="E717" s="257"/>
      <c r="F717" s="209"/>
      <c r="G717" s="258"/>
      <c r="H717" s="259"/>
      <c r="I717" s="259"/>
      <c r="J717" s="259"/>
      <c r="K717" s="259"/>
      <c r="L717" s="259"/>
      <c r="M717" s="259"/>
      <c r="N717" s="259"/>
      <c r="O717" s="259"/>
      <c r="P717" s="259"/>
      <c r="Q717" s="259"/>
      <c r="R717" s="259"/>
      <c r="S717" s="259"/>
      <c r="T717" s="259"/>
      <c r="U717" s="168"/>
    </row>
    <row r="718" spans="1:21" x14ac:dyDescent="0.2">
      <c r="A718" s="190"/>
      <c r="B718" s="190"/>
      <c r="C718" s="209"/>
      <c r="D718" s="256"/>
      <c r="E718" s="257"/>
      <c r="F718" s="209"/>
      <c r="G718" s="258"/>
      <c r="H718" s="259"/>
      <c r="I718" s="259"/>
      <c r="J718" s="259"/>
      <c r="K718" s="259"/>
      <c r="L718" s="259"/>
      <c r="M718" s="259"/>
      <c r="N718" s="259"/>
      <c r="O718" s="259"/>
      <c r="P718" s="259"/>
      <c r="Q718" s="259"/>
      <c r="R718" s="259"/>
      <c r="S718" s="259"/>
      <c r="T718" s="259"/>
      <c r="U718" s="168"/>
    </row>
    <row r="719" spans="1:21" x14ac:dyDescent="0.2">
      <c r="A719" s="190"/>
      <c r="B719" s="190"/>
      <c r="C719" s="209"/>
      <c r="D719" s="256"/>
      <c r="E719" s="257"/>
      <c r="F719" s="209"/>
      <c r="G719" s="258"/>
      <c r="H719" s="259"/>
      <c r="I719" s="259"/>
      <c r="J719" s="259"/>
      <c r="K719" s="259"/>
      <c r="L719" s="259"/>
      <c r="M719" s="259"/>
      <c r="N719" s="259"/>
      <c r="O719" s="259"/>
      <c r="P719" s="259"/>
      <c r="Q719" s="259"/>
      <c r="R719" s="259"/>
      <c r="S719" s="259"/>
      <c r="T719" s="259"/>
      <c r="U719" s="168"/>
    </row>
    <row r="720" spans="1:21" x14ac:dyDescent="0.2">
      <c r="A720" s="190"/>
      <c r="B720" s="190"/>
      <c r="C720" s="209"/>
      <c r="D720" s="256"/>
      <c r="E720" s="257"/>
      <c r="F720" s="209"/>
      <c r="G720" s="258"/>
      <c r="H720" s="259"/>
      <c r="I720" s="259"/>
      <c r="J720" s="259"/>
      <c r="K720" s="259"/>
      <c r="L720" s="259"/>
      <c r="M720" s="259"/>
      <c r="N720" s="259"/>
      <c r="O720" s="259"/>
      <c r="P720" s="259"/>
      <c r="Q720" s="259"/>
      <c r="R720" s="259"/>
      <c r="S720" s="259"/>
      <c r="T720" s="259"/>
      <c r="U720" s="168"/>
    </row>
    <row r="721" spans="1:21" x14ac:dyDescent="0.2">
      <c r="A721" s="190"/>
      <c r="B721" s="190"/>
      <c r="C721" s="209"/>
      <c r="D721" s="256"/>
      <c r="E721" s="257"/>
      <c r="F721" s="209"/>
      <c r="G721" s="258"/>
      <c r="H721" s="259"/>
      <c r="I721" s="259"/>
      <c r="J721" s="259"/>
      <c r="K721" s="259"/>
      <c r="L721" s="259"/>
      <c r="M721" s="259"/>
      <c r="N721" s="259"/>
      <c r="O721" s="259"/>
      <c r="P721" s="259"/>
      <c r="Q721" s="259"/>
      <c r="R721" s="259"/>
      <c r="S721" s="259"/>
      <c r="T721" s="259"/>
      <c r="U721" s="168"/>
    </row>
    <row r="722" spans="1:21" x14ac:dyDescent="0.2">
      <c r="A722" s="190"/>
      <c r="B722" s="190"/>
      <c r="C722" s="209"/>
      <c r="D722" s="256"/>
      <c r="E722" s="257"/>
      <c r="F722" s="209"/>
      <c r="G722" s="258"/>
      <c r="H722" s="259"/>
      <c r="I722" s="259"/>
      <c r="J722" s="259"/>
      <c r="K722" s="259"/>
      <c r="L722" s="259"/>
      <c r="M722" s="259"/>
      <c r="N722" s="259"/>
      <c r="O722" s="259"/>
      <c r="P722" s="259"/>
      <c r="Q722" s="259"/>
      <c r="R722" s="259"/>
      <c r="S722" s="259"/>
      <c r="T722" s="259"/>
      <c r="U722" s="168"/>
    </row>
    <row r="723" spans="1:21" x14ac:dyDescent="0.2">
      <c r="A723" s="190"/>
      <c r="B723" s="190"/>
      <c r="C723" s="209"/>
      <c r="D723" s="256"/>
      <c r="E723" s="257"/>
      <c r="F723" s="209"/>
      <c r="G723" s="258"/>
      <c r="H723" s="259"/>
      <c r="I723" s="259"/>
      <c r="J723" s="259"/>
      <c r="K723" s="259"/>
      <c r="L723" s="259"/>
      <c r="M723" s="259"/>
      <c r="N723" s="259"/>
      <c r="O723" s="259"/>
      <c r="P723" s="259"/>
      <c r="Q723" s="259"/>
      <c r="R723" s="259"/>
      <c r="S723" s="259"/>
      <c r="T723" s="259"/>
      <c r="U723" s="168"/>
    </row>
    <row r="724" spans="1:21" x14ac:dyDescent="0.2">
      <c r="A724" s="190"/>
      <c r="B724" s="190"/>
      <c r="C724" s="209"/>
      <c r="D724" s="256"/>
      <c r="E724" s="257"/>
      <c r="F724" s="209"/>
      <c r="G724" s="258"/>
      <c r="H724" s="259"/>
      <c r="I724" s="259"/>
      <c r="J724" s="259"/>
      <c r="K724" s="259"/>
      <c r="L724" s="259"/>
      <c r="M724" s="259"/>
      <c r="N724" s="259"/>
      <c r="O724" s="259"/>
      <c r="P724" s="259"/>
      <c r="Q724" s="259"/>
      <c r="R724" s="259"/>
      <c r="S724" s="259"/>
      <c r="T724" s="259"/>
      <c r="U724" s="168"/>
    </row>
    <row r="725" spans="1:21" x14ac:dyDescent="0.2">
      <c r="A725" s="190"/>
      <c r="B725" s="190"/>
      <c r="C725" s="209"/>
      <c r="D725" s="256"/>
      <c r="E725" s="257"/>
      <c r="F725" s="209"/>
      <c r="G725" s="258"/>
      <c r="H725" s="259"/>
      <c r="I725" s="259"/>
      <c r="J725" s="259"/>
      <c r="K725" s="259"/>
      <c r="L725" s="259"/>
      <c r="M725" s="259"/>
      <c r="N725" s="259"/>
      <c r="O725" s="259"/>
      <c r="P725" s="259"/>
      <c r="Q725" s="259"/>
      <c r="R725" s="259"/>
      <c r="S725" s="259"/>
      <c r="T725" s="259"/>
      <c r="U725" s="168"/>
    </row>
    <row r="726" spans="1:21" x14ac:dyDescent="0.2">
      <c r="A726" s="190"/>
      <c r="B726" s="190"/>
      <c r="C726" s="209"/>
      <c r="D726" s="256"/>
      <c r="E726" s="257"/>
      <c r="F726" s="209"/>
      <c r="G726" s="258"/>
      <c r="H726" s="259"/>
      <c r="I726" s="259"/>
      <c r="J726" s="259"/>
      <c r="K726" s="259"/>
      <c r="L726" s="259"/>
      <c r="M726" s="259"/>
      <c r="N726" s="259"/>
      <c r="O726" s="259"/>
      <c r="P726" s="259"/>
      <c r="Q726" s="259"/>
      <c r="R726" s="259"/>
      <c r="S726" s="259"/>
      <c r="T726" s="259"/>
      <c r="U726" s="168"/>
    </row>
    <row r="727" spans="1:21" x14ac:dyDescent="0.2">
      <c r="A727" s="190"/>
      <c r="B727" s="190"/>
      <c r="C727" s="209"/>
      <c r="D727" s="256"/>
      <c r="E727" s="257"/>
      <c r="F727" s="209"/>
      <c r="G727" s="258"/>
      <c r="H727" s="259"/>
      <c r="I727" s="259"/>
      <c r="J727" s="259"/>
      <c r="K727" s="259"/>
      <c r="L727" s="259"/>
      <c r="M727" s="259"/>
      <c r="N727" s="259"/>
      <c r="O727" s="259"/>
      <c r="P727" s="259"/>
      <c r="Q727" s="259"/>
      <c r="R727" s="259"/>
      <c r="S727" s="259"/>
      <c r="T727" s="259"/>
      <c r="U727" s="168"/>
    </row>
  </sheetData>
  <mergeCells count="6">
    <mergeCell ref="A689:T689"/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40" r:id="rId4" name="cbSubj">
              <controlPr locked="0" defaultSize="0" print="0" autoFill="0" autoLine="0" autoPict="0" macro="[0]!cbSubj_Изменение">
                <anchor moveWithCells="1">
                  <from>
                    <xdr:col>0</xdr:col>
                    <xdr:colOff>2333625</xdr:colOff>
                    <xdr:row>2</xdr:row>
                    <xdr:rowOff>38100</xdr:rowOff>
                  </from>
                  <to>
                    <xdr:col>2</xdr:col>
                    <xdr:colOff>323850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5" name="Drop Down 497">
              <controlPr locked="0" defaultSize="0" print="0" autoFill="0" autoLine="0" autoPict="0" macro="[0]!Раскрсписок90_Изменение">
                <anchor moveWithCells="1">
                  <from>
                    <xdr:col>0</xdr:col>
                    <xdr:colOff>1571625</xdr:colOff>
                    <xdr:row>5</xdr:row>
                    <xdr:rowOff>114300</xdr:rowOff>
                  </from>
                  <to>
                    <xdr:col>2</xdr:col>
                    <xdr:colOff>304800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6" name="Button 498">
              <controlPr defaultSize="0" print="0" autoFill="0" autoLine="0" autoPict="0" macro="[0]!TestForm2p">
                <anchor moveWithCells="1" sizeWithCells="1">
                  <from>
                    <xdr:col>0</xdr:col>
                    <xdr:colOff>0</xdr:colOff>
                    <xdr:row>0</xdr:row>
                    <xdr:rowOff>9525</xdr:rowOff>
                  </from>
                  <to>
                    <xdr:col>0</xdr:col>
                    <xdr:colOff>1590675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Q571"/>
  <sheetViews>
    <sheetView workbookViewId="0">
      <selection activeCell="D36" sqref="D36"/>
    </sheetView>
  </sheetViews>
  <sheetFormatPr defaultRowHeight="12.75" x14ac:dyDescent="0.2"/>
  <cols>
    <col min="1" max="12" width="8.85546875" style="150" customWidth="1"/>
    <col min="13" max="16384" width="9.140625" style="64"/>
  </cols>
  <sheetData>
    <row r="1" spans="1:17" x14ac:dyDescent="0.2">
      <c r="A1" s="64">
        <v>13</v>
      </c>
      <c r="B1" s="64">
        <v>15</v>
      </c>
      <c r="C1" s="64">
        <v>17</v>
      </c>
      <c r="D1" s="64"/>
      <c r="E1" s="64"/>
      <c r="F1" s="64"/>
      <c r="G1" s="64"/>
      <c r="H1" s="64"/>
      <c r="I1" s="64"/>
      <c r="J1" s="64"/>
      <c r="K1" s="64"/>
      <c r="L1" s="64"/>
    </row>
    <row r="2" spans="1:17" x14ac:dyDescent="0.2">
      <c r="A2" s="64">
        <v>35</v>
      </c>
      <c r="B2" s="64">
        <v>38</v>
      </c>
      <c r="C2" s="64">
        <v>41</v>
      </c>
      <c r="D2" s="64"/>
      <c r="E2" s="64"/>
      <c r="F2" s="64"/>
      <c r="G2" s="64"/>
      <c r="H2" s="64"/>
      <c r="I2" s="64"/>
      <c r="J2" s="64"/>
      <c r="K2" s="64"/>
      <c r="L2" s="64"/>
    </row>
    <row r="3" spans="1:17" x14ac:dyDescent="0.2">
      <c r="A3" s="64">
        <v>45</v>
      </c>
      <c r="B3" s="64">
        <v>48</v>
      </c>
      <c r="C3" s="64">
        <v>51</v>
      </c>
      <c r="D3" s="64">
        <v>54</v>
      </c>
      <c r="E3" s="64">
        <v>57</v>
      </c>
      <c r="F3" s="64">
        <v>60</v>
      </c>
      <c r="G3" s="64">
        <v>63</v>
      </c>
      <c r="H3" s="64">
        <v>66</v>
      </c>
      <c r="I3" s="64">
        <v>69</v>
      </c>
      <c r="J3" s="64">
        <v>72</v>
      </c>
      <c r="K3" s="64">
        <v>75</v>
      </c>
      <c r="L3" s="64">
        <v>78</v>
      </c>
      <c r="M3" s="64">
        <v>81</v>
      </c>
      <c r="N3" s="64">
        <v>84</v>
      </c>
      <c r="O3" s="64">
        <v>87</v>
      </c>
    </row>
    <row r="4" spans="1:17" x14ac:dyDescent="0.2">
      <c r="A4" s="64">
        <v>94</v>
      </c>
      <c r="B4" s="64">
        <v>96</v>
      </c>
      <c r="C4" s="64">
        <v>97</v>
      </c>
      <c r="D4" s="64">
        <v>98</v>
      </c>
      <c r="E4" s="64"/>
      <c r="F4" s="64"/>
      <c r="G4" s="64"/>
      <c r="H4" s="64"/>
      <c r="I4" s="64"/>
      <c r="J4" s="64"/>
      <c r="K4" s="64"/>
      <c r="L4" s="64"/>
    </row>
    <row r="5" spans="1:17" x14ac:dyDescent="0.2">
      <c r="A5" s="64">
        <v>118</v>
      </c>
      <c r="B5" s="64">
        <v>129</v>
      </c>
      <c r="C5" s="64">
        <v>131</v>
      </c>
      <c r="D5" s="64">
        <v>133</v>
      </c>
      <c r="E5" s="64"/>
      <c r="F5" s="64"/>
      <c r="G5" s="64"/>
      <c r="H5" s="64"/>
      <c r="I5" s="64"/>
      <c r="J5" s="64"/>
      <c r="K5" s="64"/>
      <c r="L5" s="64"/>
    </row>
    <row r="6" spans="1:17" x14ac:dyDescent="0.2">
      <c r="A6" s="64">
        <v>266</v>
      </c>
      <c r="B6" s="64">
        <v>270</v>
      </c>
      <c r="C6" s="64">
        <v>272</v>
      </c>
      <c r="D6" s="64">
        <v>274</v>
      </c>
      <c r="E6" s="64">
        <v>276</v>
      </c>
      <c r="F6" s="64">
        <v>278</v>
      </c>
      <c r="G6" s="64">
        <v>280</v>
      </c>
      <c r="H6" s="64">
        <v>282</v>
      </c>
      <c r="I6" s="64">
        <v>284</v>
      </c>
      <c r="J6" s="64">
        <v>286</v>
      </c>
      <c r="K6" s="64">
        <v>288</v>
      </c>
      <c r="L6" s="64">
        <v>290</v>
      </c>
      <c r="M6" s="64">
        <v>292</v>
      </c>
      <c r="N6" s="64">
        <v>294</v>
      </c>
      <c r="O6" s="64">
        <v>296</v>
      </c>
    </row>
    <row r="7" spans="1:17" x14ac:dyDescent="0.2">
      <c r="A7" s="64">
        <v>304</v>
      </c>
      <c r="B7" s="64">
        <v>306</v>
      </c>
      <c r="C7" s="64">
        <v>307</v>
      </c>
      <c r="D7" s="64">
        <v>308</v>
      </c>
      <c r="E7" s="64">
        <v>309</v>
      </c>
      <c r="F7" s="64">
        <v>310</v>
      </c>
      <c r="G7" s="64">
        <v>311</v>
      </c>
      <c r="H7" s="64"/>
      <c r="I7" s="64"/>
      <c r="J7" s="64"/>
      <c r="K7" s="64"/>
      <c r="L7" s="64"/>
    </row>
    <row r="8" spans="1:17" x14ac:dyDescent="0.2">
      <c r="A8" s="64">
        <v>313</v>
      </c>
      <c r="B8" s="64">
        <v>315</v>
      </c>
      <c r="C8" s="64">
        <v>316</v>
      </c>
      <c r="D8" s="64">
        <v>317</v>
      </c>
      <c r="E8" s="64">
        <v>318</v>
      </c>
      <c r="F8" s="64">
        <v>319</v>
      </c>
      <c r="G8" s="64"/>
      <c r="H8" s="64"/>
      <c r="I8" s="64"/>
      <c r="J8" s="64"/>
      <c r="K8" s="64"/>
      <c r="L8" s="64"/>
    </row>
    <row r="9" spans="1:17" x14ac:dyDescent="0.2">
      <c r="A9" s="64">
        <v>327</v>
      </c>
      <c r="B9" s="64">
        <v>329</v>
      </c>
      <c r="C9" s="64">
        <v>330</v>
      </c>
      <c r="D9" s="64">
        <v>331</v>
      </c>
      <c r="E9" s="64">
        <v>332</v>
      </c>
      <c r="F9" s="64">
        <v>333</v>
      </c>
      <c r="G9" s="64">
        <v>334</v>
      </c>
      <c r="H9" s="64"/>
      <c r="I9" s="64"/>
      <c r="J9" s="64"/>
      <c r="K9" s="64"/>
      <c r="L9" s="64"/>
    </row>
    <row r="10" spans="1:17" x14ac:dyDescent="0.2">
      <c r="A10" s="64">
        <v>336</v>
      </c>
      <c r="B10" s="64">
        <v>338</v>
      </c>
      <c r="C10" s="64">
        <v>339</v>
      </c>
      <c r="D10" s="64">
        <v>340</v>
      </c>
      <c r="E10" s="64">
        <v>341</v>
      </c>
      <c r="F10" s="64">
        <v>342</v>
      </c>
      <c r="G10" s="64"/>
      <c r="H10" s="64"/>
      <c r="I10" s="64"/>
      <c r="J10" s="64"/>
      <c r="K10" s="64"/>
      <c r="L10" s="64"/>
    </row>
    <row r="11" spans="1:17" x14ac:dyDescent="0.2">
      <c r="A11" s="64">
        <v>378</v>
      </c>
      <c r="B11" s="64">
        <v>382</v>
      </c>
      <c r="C11" s="64">
        <v>384</v>
      </c>
      <c r="D11" s="64">
        <v>386</v>
      </c>
      <c r="E11" s="64">
        <v>392</v>
      </c>
      <c r="F11" s="64">
        <v>422</v>
      </c>
      <c r="G11" s="64">
        <v>424</v>
      </c>
      <c r="H11" s="64">
        <v>426</v>
      </c>
      <c r="I11" s="64">
        <v>428</v>
      </c>
      <c r="J11" s="64">
        <v>430</v>
      </c>
      <c r="K11" s="64">
        <v>432</v>
      </c>
      <c r="L11" s="64">
        <v>434</v>
      </c>
      <c r="M11" s="64">
        <v>436</v>
      </c>
      <c r="N11" s="64">
        <v>438</v>
      </c>
      <c r="O11" s="64">
        <v>440</v>
      </c>
      <c r="P11" s="64">
        <v>442</v>
      </c>
      <c r="Q11" s="64">
        <v>444</v>
      </c>
    </row>
    <row r="12" spans="1:17" x14ac:dyDescent="0.2">
      <c r="A12" s="64">
        <v>386</v>
      </c>
      <c r="B12" s="64">
        <v>388</v>
      </c>
      <c r="C12" s="64">
        <v>390</v>
      </c>
      <c r="D12" s="64"/>
      <c r="E12" s="64"/>
      <c r="F12" s="64"/>
      <c r="G12" s="64"/>
      <c r="H12" s="64"/>
      <c r="I12" s="64"/>
      <c r="J12" s="64"/>
      <c r="K12" s="64"/>
      <c r="L12" s="64"/>
    </row>
    <row r="13" spans="1:17" x14ac:dyDescent="0.2">
      <c r="A13" s="64">
        <v>392</v>
      </c>
      <c r="B13" s="64">
        <v>394</v>
      </c>
      <c r="C13" s="64">
        <v>396</v>
      </c>
      <c r="D13" s="64">
        <v>398</v>
      </c>
      <c r="E13" s="64">
        <v>400</v>
      </c>
      <c r="F13" s="64">
        <v>402</v>
      </c>
      <c r="G13" s="64">
        <v>404</v>
      </c>
      <c r="H13" s="64">
        <v>406</v>
      </c>
      <c r="I13" s="64">
        <v>408</v>
      </c>
      <c r="J13" s="64">
        <v>410</v>
      </c>
      <c r="K13" s="64">
        <v>412</v>
      </c>
      <c r="L13" s="64">
        <v>414</v>
      </c>
      <c r="M13" s="64">
        <v>416</v>
      </c>
      <c r="N13" s="64">
        <v>418</v>
      </c>
      <c r="O13" s="64">
        <v>420</v>
      </c>
    </row>
    <row r="14" spans="1:17" x14ac:dyDescent="0.2">
      <c r="A14" s="64">
        <v>447</v>
      </c>
      <c r="B14" s="64">
        <v>449</v>
      </c>
      <c r="C14" s="64">
        <v>450</v>
      </c>
      <c r="D14" s="64"/>
      <c r="E14" s="64"/>
      <c r="F14" s="64"/>
      <c r="G14" s="64"/>
      <c r="H14" s="64"/>
      <c r="I14" s="64"/>
      <c r="J14" s="64"/>
      <c r="K14" s="64"/>
      <c r="L14" s="64"/>
    </row>
    <row r="15" spans="1:17" x14ac:dyDescent="0.2">
      <c r="A15" s="64">
        <v>451</v>
      </c>
      <c r="B15" s="64">
        <v>453</v>
      </c>
      <c r="C15" s="64">
        <v>455</v>
      </c>
      <c r="D15" s="64">
        <v>456</v>
      </c>
      <c r="E15" s="64">
        <v>461</v>
      </c>
      <c r="F15" s="64">
        <v>462</v>
      </c>
      <c r="G15" s="64"/>
      <c r="H15" s="64"/>
      <c r="I15" s="64"/>
      <c r="J15" s="64"/>
      <c r="K15" s="64"/>
      <c r="L15" s="64"/>
    </row>
    <row r="16" spans="1:17" x14ac:dyDescent="0.2">
      <c r="A16" s="64">
        <v>456</v>
      </c>
      <c r="B16" s="64">
        <v>458</v>
      </c>
      <c r="C16" s="64">
        <v>460</v>
      </c>
      <c r="D16" s="64"/>
      <c r="E16" s="64"/>
      <c r="F16" s="64"/>
      <c r="G16" s="64"/>
      <c r="H16" s="64"/>
      <c r="I16" s="64"/>
      <c r="J16" s="64"/>
      <c r="K16" s="64"/>
      <c r="L16" s="64"/>
    </row>
    <row r="17" spans="1:12" x14ac:dyDescent="0.2">
      <c r="A17" s="64">
        <v>469</v>
      </c>
      <c r="B17" s="64">
        <v>471</v>
      </c>
      <c r="C17" s="64">
        <v>473</v>
      </c>
      <c r="D17" s="64">
        <v>475</v>
      </c>
      <c r="E17" s="64"/>
      <c r="F17" s="64"/>
      <c r="G17" s="64"/>
      <c r="H17" s="64"/>
      <c r="I17" s="64"/>
      <c r="J17" s="64"/>
      <c r="K17" s="64"/>
      <c r="L17" s="64"/>
    </row>
    <row r="18" spans="1:12" x14ac:dyDescent="0.2">
      <c r="A18" s="64">
        <v>503</v>
      </c>
      <c r="B18" s="64">
        <v>484</v>
      </c>
      <c r="C18" s="64">
        <v>486</v>
      </c>
      <c r="D18" s="64">
        <v>489</v>
      </c>
      <c r="E18" s="64">
        <v>490</v>
      </c>
      <c r="F18" s="64">
        <v>491</v>
      </c>
      <c r="G18" s="64">
        <v>495</v>
      </c>
      <c r="H18" s="64">
        <v>496</v>
      </c>
      <c r="I18" s="64">
        <v>497</v>
      </c>
      <c r="J18" s="64">
        <v>500</v>
      </c>
      <c r="K18" s="64">
        <v>501</v>
      </c>
      <c r="L18" s="64">
        <v>502</v>
      </c>
    </row>
    <row r="19" spans="1:12" x14ac:dyDescent="0.2">
      <c r="A19" s="64">
        <v>505</v>
      </c>
      <c r="B19" s="64">
        <v>506</v>
      </c>
      <c r="C19" s="64">
        <v>507</v>
      </c>
      <c r="D19" s="64"/>
      <c r="E19" s="64"/>
      <c r="F19" s="64"/>
      <c r="G19" s="64"/>
      <c r="H19" s="64"/>
      <c r="I19" s="64"/>
      <c r="J19" s="64"/>
      <c r="K19" s="64"/>
      <c r="L19" s="64"/>
    </row>
    <row r="20" spans="1:12" x14ac:dyDescent="0.2">
      <c r="A20" s="64">
        <v>508</v>
      </c>
      <c r="B20" s="64">
        <v>509</v>
      </c>
      <c r="C20" s="64">
        <v>510</v>
      </c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">
      <c r="A21" s="64">
        <v>511</v>
      </c>
      <c r="B21" s="64">
        <v>503</v>
      </c>
      <c r="C21" s="64">
        <v>504</v>
      </c>
      <c r="D21" s="64"/>
      <c r="E21" s="64"/>
      <c r="F21" s="64"/>
      <c r="G21" s="64"/>
      <c r="H21" s="64"/>
      <c r="I21" s="64"/>
      <c r="J21" s="64"/>
      <c r="K21" s="64"/>
      <c r="L21" s="64"/>
    </row>
    <row r="22" spans="1:12" x14ac:dyDescent="0.2">
      <c r="A22" s="64">
        <v>528</v>
      </c>
      <c r="B22" s="64">
        <v>530</v>
      </c>
      <c r="C22" s="64">
        <v>531</v>
      </c>
      <c r="D22" s="64">
        <v>532</v>
      </c>
      <c r="E22" s="64">
        <v>533</v>
      </c>
      <c r="F22" s="64"/>
      <c r="G22" s="64"/>
      <c r="H22" s="64"/>
      <c r="I22" s="64"/>
      <c r="J22" s="64"/>
      <c r="K22" s="64"/>
      <c r="L22" s="64"/>
    </row>
    <row r="23" spans="1:12" x14ac:dyDescent="0.2">
      <c r="A23" s="64">
        <v>533</v>
      </c>
      <c r="B23" s="64">
        <v>535</v>
      </c>
      <c r="C23" s="64">
        <v>536</v>
      </c>
      <c r="D23" s="64">
        <v>537</v>
      </c>
      <c r="E23" s="64">
        <v>538</v>
      </c>
      <c r="F23" s="64">
        <v>539</v>
      </c>
      <c r="G23" s="64"/>
      <c r="H23" s="64"/>
      <c r="I23" s="64"/>
      <c r="J23" s="64"/>
      <c r="K23" s="64"/>
      <c r="L23" s="64"/>
    </row>
    <row r="24" spans="1:12" x14ac:dyDescent="0.2">
      <c r="A24" s="64">
        <v>541</v>
      </c>
      <c r="B24" s="64">
        <v>513</v>
      </c>
      <c r="C24" s="64">
        <v>516</v>
      </c>
      <c r="D24" s="64">
        <v>520</v>
      </c>
      <c r="E24" s="64">
        <v>523</v>
      </c>
      <c r="F24" s="64">
        <v>524</v>
      </c>
      <c r="G24" s="64">
        <v>525</v>
      </c>
      <c r="H24" s="64">
        <v>526</v>
      </c>
      <c r="I24" s="64">
        <v>527</v>
      </c>
      <c r="J24" s="64">
        <v>528</v>
      </c>
      <c r="K24" s="64">
        <v>540</v>
      </c>
      <c r="L24" s="64"/>
    </row>
    <row r="25" spans="1:12" x14ac:dyDescent="0.2">
      <c r="A25" s="64">
        <v>545</v>
      </c>
      <c r="B25" s="64">
        <v>547</v>
      </c>
      <c r="C25" s="64">
        <v>548</v>
      </c>
      <c r="D25" s="64">
        <v>549</v>
      </c>
      <c r="E25" s="64">
        <v>553</v>
      </c>
      <c r="F25" s="64">
        <v>554</v>
      </c>
      <c r="G25" s="64"/>
      <c r="H25" s="64"/>
      <c r="I25" s="64"/>
      <c r="J25" s="64"/>
      <c r="K25" s="64"/>
      <c r="L25" s="64"/>
    </row>
    <row r="26" spans="1:12" x14ac:dyDescent="0.2">
      <c r="A26" s="64">
        <v>549</v>
      </c>
      <c r="B26" s="64">
        <v>550</v>
      </c>
      <c r="C26" s="64">
        <v>551</v>
      </c>
      <c r="D26" s="64">
        <v>552</v>
      </c>
      <c r="E26" s="64"/>
      <c r="F26" s="64"/>
      <c r="J26" s="64"/>
      <c r="K26" s="64"/>
      <c r="L26" s="64"/>
    </row>
    <row r="27" spans="1:12" x14ac:dyDescent="0.2">
      <c r="A27" s="64">
        <v>557</v>
      </c>
      <c r="B27" s="64">
        <v>559</v>
      </c>
      <c r="C27" s="64">
        <v>561</v>
      </c>
      <c r="D27" s="64">
        <v>562</v>
      </c>
      <c r="E27" s="64"/>
      <c r="F27" s="64"/>
      <c r="G27" s="64"/>
      <c r="H27" s="64"/>
      <c r="I27" s="64"/>
      <c r="J27" s="64"/>
      <c r="K27" s="64"/>
      <c r="L27" s="64"/>
    </row>
    <row r="28" spans="1:12" x14ac:dyDescent="0.2">
      <c r="A28" s="64">
        <v>624</v>
      </c>
      <c r="B28" s="64">
        <v>626</v>
      </c>
      <c r="C28" s="64">
        <v>627</v>
      </c>
      <c r="D28" s="64">
        <v>628</v>
      </c>
      <c r="E28" s="64"/>
      <c r="F28" s="64"/>
      <c r="G28" s="64"/>
      <c r="H28" s="64"/>
      <c r="I28" s="64"/>
      <c r="J28" s="64"/>
      <c r="K28" s="64"/>
      <c r="L28" s="64"/>
    </row>
    <row r="29" spans="1:12" x14ac:dyDescent="0.2">
      <c r="A29" s="64">
        <v>637</v>
      </c>
      <c r="B29" s="64">
        <v>639</v>
      </c>
      <c r="C29" s="64">
        <v>640</v>
      </c>
      <c r="D29" s="64">
        <v>641</v>
      </c>
      <c r="E29" s="64"/>
      <c r="F29" s="64"/>
      <c r="G29" s="64"/>
      <c r="H29" s="64"/>
      <c r="I29" s="64"/>
      <c r="J29" s="64"/>
      <c r="K29" s="64"/>
      <c r="L29" s="64"/>
    </row>
    <row r="30" spans="1:12" x14ac:dyDescent="0.2">
      <c r="A30" s="64">
        <v>652</v>
      </c>
      <c r="B30" s="64">
        <v>654</v>
      </c>
      <c r="C30" s="64">
        <v>656</v>
      </c>
      <c r="D30" s="64"/>
      <c r="E30" s="64"/>
      <c r="F30" s="64"/>
      <c r="G30" s="64"/>
      <c r="H30" s="64"/>
      <c r="I30" s="64"/>
      <c r="J30" s="64"/>
      <c r="K30" s="64"/>
      <c r="L30" s="64"/>
    </row>
    <row r="31" spans="1:12" x14ac:dyDescent="0.2">
      <c r="A31" s="64">
        <v>658</v>
      </c>
      <c r="B31" s="64">
        <v>660</v>
      </c>
      <c r="C31" s="64">
        <v>662</v>
      </c>
      <c r="D31" s="64"/>
      <c r="E31" s="64"/>
      <c r="F31" s="64"/>
      <c r="G31" s="64"/>
      <c r="H31" s="64"/>
      <c r="I31" s="64"/>
      <c r="J31" s="64"/>
      <c r="K31" s="64"/>
      <c r="L31" s="64"/>
    </row>
    <row r="32" spans="1:12" x14ac:dyDescent="0.2">
      <c r="A32" s="64">
        <v>670</v>
      </c>
      <c r="B32" s="64">
        <v>672</v>
      </c>
      <c r="C32" s="64">
        <v>674</v>
      </c>
      <c r="D32" s="64"/>
      <c r="E32" s="64"/>
      <c r="F32" s="64"/>
      <c r="G32" s="64"/>
      <c r="H32" s="64"/>
      <c r="I32" s="64"/>
      <c r="J32" s="64"/>
      <c r="K32" s="64"/>
      <c r="L32" s="64"/>
    </row>
    <row r="33" spans="1:12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1:12" x14ac:dyDescent="0.2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1:12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1:12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38" spans="1:12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</row>
    <row r="39" spans="1:12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1:12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</row>
    <row r="41" spans="1:12" x14ac:dyDescent="0.2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1:12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12" x14ac:dyDescent="0.2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1:12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</row>
    <row r="45" spans="1:12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12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1:12" x14ac:dyDescent="0.2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 x14ac:dyDescent="0.2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1:12" x14ac:dyDescent="0.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2" x14ac:dyDescent="0.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2" x14ac:dyDescent="0.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4" spans="1:12" x14ac:dyDescent="0.2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x14ac:dyDescent="0.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 x14ac:dyDescent="0.2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  <row r="57" spans="1:12" x14ac:dyDescent="0.2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  <row r="58" spans="1:12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</row>
    <row r="59" spans="1:12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2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</row>
    <row r="62" spans="1:12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2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12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2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2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2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12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</row>
    <row r="90" spans="1:12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</row>
    <row r="91" spans="1:12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</row>
    <row r="92" spans="1:12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</row>
    <row r="93" spans="1:12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</row>
    <row r="95" spans="1:12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</row>
    <row r="96" spans="1:12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</row>
    <row r="97" spans="1:12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12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</row>
    <row r="99" spans="1:12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</row>
    <row r="100" spans="1:12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1:12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4" spans="1:12" x14ac:dyDescent="0.2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</row>
    <row r="105" spans="1:12" x14ac:dyDescent="0.2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</row>
    <row r="106" spans="1:12" x14ac:dyDescent="0.2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2" x14ac:dyDescent="0.2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</row>
    <row r="108" spans="1:12" x14ac:dyDescent="0.2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</row>
    <row r="109" spans="1:12" x14ac:dyDescent="0.2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</row>
    <row r="110" spans="1:12" x14ac:dyDescent="0.2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</row>
    <row r="111" spans="1:12" x14ac:dyDescent="0.2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</row>
    <row r="112" spans="1:12" x14ac:dyDescent="0.2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</row>
    <row r="113" spans="1:12" x14ac:dyDescent="0.2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</row>
    <row r="114" spans="1:12" x14ac:dyDescent="0.2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 x14ac:dyDescent="0.2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x14ac:dyDescent="0.2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x14ac:dyDescent="0.2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</row>
    <row r="118" spans="1:12" x14ac:dyDescent="0.2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1:12" x14ac:dyDescent="0.2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1:12" x14ac:dyDescent="0.2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1:12" x14ac:dyDescent="0.2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1:12" x14ac:dyDescent="0.2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 x14ac:dyDescent="0.2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1:12" x14ac:dyDescent="0.2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1:12" x14ac:dyDescent="0.2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1:12" x14ac:dyDescent="0.2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1:12" x14ac:dyDescent="0.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 x14ac:dyDescent="0.2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1:12" x14ac:dyDescent="0.2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1:12" x14ac:dyDescent="0.2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 x14ac:dyDescent="0.2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1:12" x14ac:dyDescent="0.2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1:12" x14ac:dyDescent="0.2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1:12" x14ac:dyDescent="0.2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1:12" x14ac:dyDescent="0.2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1:12" x14ac:dyDescent="0.2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1:12" x14ac:dyDescent="0.2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1:12" x14ac:dyDescent="0.2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1:12" x14ac:dyDescent="0.2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1:12" x14ac:dyDescent="0.2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1:12" x14ac:dyDescent="0.2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1:12" x14ac:dyDescent="0.2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1:12" x14ac:dyDescent="0.2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2" x14ac:dyDescent="0.2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1:12" x14ac:dyDescent="0.2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1:12" x14ac:dyDescent="0.2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1:12" x14ac:dyDescent="0.2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1:12" x14ac:dyDescent="0.2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1:12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1:12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1:12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1:12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1:12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  <row r="155" spans="1:12" x14ac:dyDescent="0.2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</row>
    <row r="156" spans="1:12" x14ac:dyDescent="0.2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</row>
    <row r="157" spans="1:12" x14ac:dyDescent="0.2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</row>
    <row r="158" spans="1:12" x14ac:dyDescent="0.2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 x14ac:dyDescent="0.2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</row>
    <row r="160" spans="1:12" x14ac:dyDescent="0.2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</row>
    <row r="161" spans="1:12" x14ac:dyDescent="0.2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</row>
    <row r="162" spans="1:12" x14ac:dyDescent="0.2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</row>
    <row r="163" spans="1:12" x14ac:dyDescent="0.2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</row>
    <row r="164" spans="1:12" x14ac:dyDescent="0.2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</row>
    <row r="165" spans="1:12" x14ac:dyDescent="0.2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1:12" x14ac:dyDescent="0.2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</row>
    <row r="167" spans="1:12" x14ac:dyDescent="0.2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</row>
    <row r="168" spans="1:12" x14ac:dyDescent="0.2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 x14ac:dyDescent="0.2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1:12" x14ac:dyDescent="0.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 x14ac:dyDescent="0.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 x14ac:dyDescent="0.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 x14ac:dyDescent="0.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 x14ac:dyDescent="0.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 x14ac:dyDescent="0.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 x14ac:dyDescent="0.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x14ac:dyDescent="0.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 x14ac:dyDescent="0.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 x14ac:dyDescent="0.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 x14ac:dyDescent="0.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 x14ac:dyDescent="0.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 x14ac:dyDescent="0.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 x14ac:dyDescent="0.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 x14ac:dyDescent="0.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 x14ac:dyDescent="0.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 x14ac:dyDescent="0.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 x14ac:dyDescent="0.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 x14ac:dyDescent="0.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 x14ac:dyDescent="0.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 x14ac:dyDescent="0.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 x14ac:dyDescent="0.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  <row r="192" spans="1:12" x14ac:dyDescent="0.2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</row>
    <row r="193" spans="1:12" x14ac:dyDescent="0.2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</row>
    <row r="194" spans="1:12" x14ac:dyDescent="0.2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</row>
    <row r="195" spans="1:12" x14ac:dyDescent="0.2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</row>
    <row r="196" spans="1:12" x14ac:dyDescent="0.2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</row>
    <row r="197" spans="1:12" x14ac:dyDescent="0.2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</row>
    <row r="198" spans="1:12" x14ac:dyDescent="0.2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</row>
    <row r="199" spans="1:12" x14ac:dyDescent="0.2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</row>
    <row r="200" spans="1:12" x14ac:dyDescent="0.2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</row>
    <row r="201" spans="1:12" x14ac:dyDescent="0.2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</row>
    <row r="202" spans="1:12" x14ac:dyDescent="0.2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</row>
    <row r="203" spans="1:12" x14ac:dyDescent="0.2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</row>
    <row r="204" spans="1:12" x14ac:dyDescent="0.2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</row>
    <row r="205" spans="1:12" x14ac:dyDescent="0.2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</row>
    <row r="206" spans="1:12" x14ac:dyDescent="0.2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</row>
    <row r="207" spans="1:12" x14ac:dyDescent="0.2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</row>
    <row r="208" spans="1:12" x14ac:dyDescent="0.2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09" spans="1:12" x14ac:dyDescent="0.2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x14ac:dyDescent="0.2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</row>
    <row r="211" spans="1:12" x14ac:dyDescent="0.2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</row>
    <row r="212" spans="1:12" x14ac:dyDescent="0.2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</row>
    <row r="213" spans="1:12" x14ac:dyDescent="0.2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</row>
    <row r="214" spans="1:12" x14ac:dyDescent="0.2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</row>
    <row r="215" spans="1:12" x14ac:dyDescent="0.2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</row>
    <row r="216" spans="1:12" x14ac:dyDescent="0.2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</row>
    <row r="217" spans="1:12" x14ac:dyDescent="0.2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</row>
    <row r="218" spans="1:12" x14ac:dyDescent="0.2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</row>
    <row r="219" spans="1:12" x14ac:dyDescent="0.2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</row>
    <row r="220" spans="1:12" x14ac:dyDescent="0.2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</row>
    <row r="221" spans="1:12" x14ac:dyDescent="0.2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</row>
    <row r="222" spans="1:12" x14ac:dyDescent="0.2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</row>
    <row r="223" spans="1:12" x14ac:dyDescent="0.2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</row>
    <row r="224" spans="1:12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</row>
    <row r="225" spans="1:12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</row>
    <row r="226" spans="1:12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</row>
    <row r="227" spans="1:12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</row>
    <row r="228" spans="1:12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</row>
    <row r="229" spans="1:12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</row>
    <row r="230" spans="1:12" x14ac:dyDescent="0.2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</row>
    <row r="231" spans="1:12" x14ac:dyDescent="0.2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</row>
    <row r="232" spans="1:12" x14ac:dyDescent="0.2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</row>
    <row r="233" spans="1:12" x14ac:dyDescent="0.2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2" x14ac:dyDescent="0.2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</row>
    <row r="235" spans="1:12" x14ac:dyDescent="0.2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</row>
    <row r="236" spans="1:12" x14ac:dyDescent="0.2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</row>
    <row r="237" spans="1:12" x14ac:dyDescent="0.2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</row>
    <row r="238" spans="1:12" x14ac:dyDescent="0.2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</row>
    <row r="239" spans="1:12" x14ac:dyDescent="0.2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</row>
    <row r="240" spans="1:12" x14ac:dyDescent="0.2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</row>
    <row r="241" spans="1:12" x14ac:dyDescent="0.2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2" x14ac:dyDescent="0.2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</row>
    <row r="243" spans="1:12" x14ac:dyDescent="0.2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</row>
    <row r="244" spans="1:12" x14ac:dyDescent="0.2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</row>
    <row r="245" spans="1:12" x14ac:dyDescent="0.2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</row>
    <row r="246" spans="1:12" x14ac:dyDescent="0.2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</row>
    <row r="247" spans="1:12" x14ac:dyDescent="0.2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</row>
    <row r="248" spans="1:12" x14ac:dyDescent="0.2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</row>
    <row r="249" spans="1:12" x14ac:dyDescent="0.2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2" x14ac:dyDescent="0.2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</row>
    <row r="251" spans="1:12" x14ac:dyDescent="0.2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</row>
    <row r="252" spans="1:12" x14ac:dyDescent="0.2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</row>
    <row r="253" spans="1:12" x14ac:dyDescent="0.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 x14ac:dyDescent="0.2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</row>
    <row r="255" spans="1:12" x14ac:dyDescent="0.2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</row>
    <row r="256" spans="1:12" x14ac:dyDescent="0.2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</row>
    <row r="257" spans="1:12" x14ac:dyDescent="0.2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</row>
    <row r="258" spans="1:12" x14ac:dyDescent="0.2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</row>
    <row r="259" spans="1:12" x14ac:dyDescent="0.2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</row>
    <row r="260" spans="1:12" x14ac:dyDescent="0.2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</row>
    <row r="261" spans="1:12" x14ac:dyDescent="0.2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</row>
    <row r="262" spans="1:12" x14ac:dyDescent="0.2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</row>
    <row r="263" spans="1:12" x14ac:dyDescent="0.2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</row>
    <row r="264" spans="1:12" x14ac:dyDescent="0.2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</row>
    <row r="265" spans="1:12" x14ac:dyDescent="0.2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</row>
    <row r="266" spans="1:12" x14ac:dyDescent="0.2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</row>
    <row r="267" spans="1:12" x14ac:dyDescent="0.2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</row>
    <row r="268" spans="1:12" x14ac:dyDescent="0.2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</row>
    <row r="269" spans="1:12" x14ac:dyDescent="0.2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</row>
    <row r="270" spans="1:12" x14ac:dyDescent="0.2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</row>
    <row r="271" spans="1:12" x14ac:dyDescent="0.2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</row>
    <row r="272" spans="1:12" x14ac:dyDescent="0.2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</row>
    <row r="273" spans="1:12" x14ac:dyDescent="0.2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</row>
    <row r="274" spans="1:12" x14ac:dyDescent="0.2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</row>
    <row r="275" spans="1:12" x14ac:dyDescent="0.2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</row>
    <row r="276" spans="1:12" x14ac:dyDescent="0.2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 x14ac:dyDescent="0.2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</row>
    <row r="278" spans="1:12" x14ac:dyDescent="0.2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</row>
    <row r="279" spans="1:12" x14ac:dyDescent="0.2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</row>
    <row r="280" spans="1:12" x14ac:dyDescent="0.2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</row>
    <row r="281" spans="1:12" x14ac:dyDescent="0.2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</row>
    <row r="282" spans="1:12" x14ac:dyDescent="0.2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</row>
    <row r="283" spans="1:12" x14ac:dyDescent="0.2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</row>
    <row r="284" spans="1:12" x14ac:dyDescent="0.2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</row>
    <row r="285" spans="1:12" x14ac:dyDescent="0.2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</row>
    <row r="286" spans="1:12" x14ac:dyDescent="0.2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</row>
    <row r="287" spans="1:12" x14ac:dyDescent="0.2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</row>
    <row r="288" spans="1:12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</row>
    <row r="289" spans="1:12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</row>
    <row r="290" spans="1:12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</row>
    <row r="291" spans="1:12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</row>
    <row r="292" spans="1:12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</row>
    <row r="293" spans="1:12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</row>
    <row r="294" spans="1:12" x14ac:dyDescent="0.2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</row>
    <row r="295" spans="1:12" x14ac:dyDescent="0.2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</row>
    <row r="296" spans="1:12" x14ac:dyDescent="0.2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</row>
    <row r="297" spans="1:12" x14ac:dyDescent="0.2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</row>
    <row r="298" spans="1:12" x14ac:dyDescent="0.2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 x14ac:dyDescent="0.2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</row>
    <row r="300" spans="1:12" x14ac:dyDescent="0.2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</row>
    <row r="301" spans="1:12" x14ac:dyDescent="0.2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</row>
    <row r="302" spans="1:12" x14ac:dyDescent="0.2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</row>
    <row r="303" spans="1:12" x14ac:dyDescent="0.2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</row>
    <row r="304" spans="1:12" x14ac:dyDescent="0.2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</row>
    <row r="305" spans="1:12" x14ac:dyDescent="0.2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</row>
    <row r="306" spans="1:12" x14ac:dyDescent="0.2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</row>
    <row r="307" spans="1:12" x14ac:dyDescent="0.2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</row>
    <row r="308" spans="1:12" x14ac:dyDescent="0.2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</row>
    <row r="309" spans="1:12" x14ac:dyDescent="0.2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</row>
    <row r="310" spans="1:12" x14ac:dyDescent="0.2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</row>
    <row r="311" spans="1:12" x14ac:dyDescent="0.2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</row>
    <row r="312" spans="1:12" x14ac:dyDescent="0.2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</row>
    <row r="313" spans="1:12" x14ac:dyDescent="0.2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</row>
    <row r="314" spans="1:12" x14ac:dyDescent="0.2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</row>
    <row r="315" spans="1:12" x14ac:dyDescent="0.2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</row>
    <row r="316" spans="1:12" x14ac:dyDescent="0.2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</row>
    <row r="317" spans="1:12" x14ac:dyDescent="0.2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</row>
    <row r="318" spans="1:12" x14ac:dyDescent="0.2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</row>
    <row r="319" spans="1:12" x14ac:dyDescent="0.2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 x14ac:dyDescent="0.2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</row>
    <row r="321" spans="1:12" x14ac:dyDescent="0.2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</row>
    <row r="322" spans="1:12" x14ac:dyDescent="0.2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</row>
    <row r="323" spans="1:12" x14ac:dyDescent="0.2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</row>
    <row r="324" spans="1:12" x14ac:dyDescent="0.2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</row>
    <row r="325" spans="1:12" x14ac:dyDescent="0.2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</row>
    <row r="326" spans="1:12" x14ac:dyDescent="0.2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</row>
    <row r="327" spans="1:12" x14ac:dyDescent="0.2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</row>
    <row r="328" spans="1:12" x14ac:dyDescent="0.2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</row>
    <row r="329" spans="1:12" x14ac:dyDescent="0.2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</row>
    <row r="330" spans="1:12" x14ac:dyDescent="0.2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</row>
    <row r="331" spans="1:12" x14ac:dyDescent="0.2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</row>
    <row r="332" spans="1:12" x14ac:dyDescent="0.2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</row>
    <row r="333" spans="1:12" x14ac:dyDescent="0.2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</row>
    <row r="334" spans="1:12" x14ac:dyDescent="0.2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</row>
    <row r="335" spans="1:12" x14ac:dyDescent="0.2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</row>
    <row r="336" spans="1:12" x14ac:dyDescent="0.2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</row>
    <row r="337" spans="1:12" x14ac:dyDescent="0.2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</row>
    <row r="338" spans="1:12" x14ac:dyDescent="0.2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</row>
    <row r="339" spans="1:12" x14ac:dyDescent="0.2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</row>
    <row r="340" spans="1:12" x14ac:dyDescent="0.2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</row>
    <row r="341" spans="1:12" x14ac:dyDescent="0.2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</row>
    <row r="342" spans="1:12" x14ac:dyDescent="0.2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</row>
    <row r="343" spans="1:12" x14ac:dyDescent="0.2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</row>
    <row r="344" spans="1:12" x14ac:dyDescent="0.2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</row>
    <row r="345" spans="1:12" x14ac:dyDescent="0.2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</row>
    <row r="346" spans="1:12" x14ac:dyDescent="0.2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</row>
    <row r="347" spans="1:12" x14ac:dyDescent="0.2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</row>
    <row r="348" spans="1:12" x14ac:dyDescent="0.2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</row>
    <row r="349" spans="1:12" x14ac:dyDescent="0.2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</row>
    <row r="350" spans="1:12" x14ac:dyDescent="0.2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</row>
    <row r="351" spans="1:12" x14ac:dyDescent="0.2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</row>
    <row r="352" spans="1:12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</row>
    <row r="353" spans="1:12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</row>
    <row r="354" spans="1:12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</row>
    <row r="355" spans="1:12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</row>
    <row r="356" spans="1:12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</row>
    <row r="357" spans="1:12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</row>
    <row r="358" spans="1:12" x14ac:dyDescent="0.2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</row>
    <row r="359" spans="1:12" x14ac:dyDescent="0.2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</row>
    <row r="360" spans="1:12" x14ac:dyDescent="0.2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</row>
    <row r="361" spans="1:12" x14ac:dyDescent="0.2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</row>
    <row r="362" spans="1:12" x14ac:dyDescent="0.2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</row>
    <row r="363" spans="1:12" x14ac:dyDescent="0.2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</row>
    <row r="364" spans="1:12" x14ac:dyDescent="0.2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</row>
    <row r="365" spans="1:12" x14ac:dyDescent="0.2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</row>
    <row r="366" spans="1:12" x14ac:dyDescent="0.2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</row>
    <row r="367" spans="1:12" x14ac:dyDescent="0.2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</row>
    <row r="368" spans="1:12" x14ac:dyDescent="0.2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</row>
    <row r="369" spans="1:12" x14ac:dyDescent="0.2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</row>
    <row r="370" spans="1:12" x14ac:dyDescent="0.2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</row>
    <row r="371" spans="1:12" x14ac:dyDescent="0.2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</row>
    <row r="372" spans="1:12" x14ac:dyDescent="0.2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</row>
    <row r="373" spans="1:12" x14ac:dyDescent="0.2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</row>
    <row r="374" spans="1:12" x14ac:dyDescent="0.2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</row>
    <row r="375" spans="1:12" x14ac:dyDescent="0.2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</row>
    <row r="376" spans="1:12" x14ac:dyDescent="0.2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</row>
    <row r="377" spans="1:12" x14ac:dyDescent="0.2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</row>
    <row r="378" spans="1:12" x14ac:dyDescent="0.2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</row>
    <row r="379" spans="1:12" x14ac:dyDescent="0.2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</row>
    <row r="380" spans="1:12" x14ac:dyDescent="0.2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</row>
    <row r="381" spans="1:12" x14ac:dyDescent="0.2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</row>
    <row r="382" spans="1:12" x14ac:dyDescent="0.2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</row>
    <row r="383" spans="1:12" x14ac:dyDescent="0.2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</row>
    <row r="384" spans="1:12" x14ac:dyDescent="0.2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</row>
    <row r="385" spans="1:12" x14ac:dyDescent="0.2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</row>
    <row r="386" spans="1:12" x14ac:dyDescent="0.2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</row>
    <row r="387" spans="1:12" x14ac:dyDescent="0.2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</row>
    <row r="388" spans="1:12" x14ac:dyDescent="0.2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</row>
    <row r="389" spans="1:12" x14ac:dyDescent="0.2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</row>
    <row r="390" spans="1:12" x14ac:dyDescent="0.2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</row>
    <row r="391" spans="1:12" x14ac:dyDescent="0.2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</row>
    <row r="392" spans="1:12" x14ac:dyDescent="0.2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</row>
    <row r="393" spans="1:12" x14ac:dyDescent="0.2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</row>
    <row r="394" spans="1:12" x14ac:dyDescent="0.2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</row>
    <row r="395" spans="1:12" x14ac:dyDescent="0.2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</row>
    <row r="396" spans="1:12" x14ac:dyDescent="0.2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</row>
    <row r="397" spans="1:12" x14ac:dyDescent="0.2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</row>
    <row r="398" spans="1:12" x14ac:dyDescent="0.2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</row>
    <row r="399" spans="1:12" x14ac:dyDescent="0.2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</row>
    <row r="400" spans="1:12" x14ac:dyDescent="0.2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</row>
    <row r="401" spans="1:12" x14ac:dyDescent="0.2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</row>
    <row r="402" spans="1:12" x14ac:dyDescent="0.2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</row>
    <row r="403" spans="1:12" x14ac:dyDescent="0.2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</row>
    <row r="404" spans="1:12" x14ac:dyDescent="0.2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</row>
    <row r="405" spans="1:12" x14ac:dyDescent="0.2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</row>
    <row r="406" spans="1:12" x14ac:dyDescent="0.2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</row>
    <row r="407" spans="1:12" x14ac:dyDescent="0.2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</row>
    <row r="408" spans="1:12" x14ac:dyDescent="0.2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</row>
    <row r="409" spans="1:12" x14ac:dyDescent="0.2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</row>
    <row r="410" spans="1:12" x14ac:dyDescent="0.2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</row>
    <row r="411" spans="1:12" x14ac:dyDescent="0.2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</row>
    <row r="412" spans="1:12" x14ac:dyDescent="0.2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</row>
    <row r="413" spans="1:12" x14ac:dyDescent="0.2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</row>
    <row r="414" spans="1:12" x14ac:dyDescent="0.2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</row>
    <row r="415" spans="1:12" x14ac:dyDescent="0.2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</row>
    <row r="416" spans="1:12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</row>
    <row r="417" spans="1:12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</row>
    <row r="418" spans="1:12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</row>
    <row r="419" spans="1:12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</row>
    <row r="420" spans="1:12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</row>
    <row r="421" spans="1:12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</row>
    <row r="422" spans="1:12" x14ac:dyDescent="0.2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</row>
    <row r="423" spans="1:12" x14ac:dyDescent="0.2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</row>
    <row r="424" spans="1:12" x14ac:dyDescent="0.2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</row>
    <row r="425" spans="1:12" x14ac:dyDescent="0.2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</row>
    <row r="426" spans="1:12" x14ac:dyDescent="0.2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</row>
    <row r="427" spans="1:12" x14ac:dyDescent="0.2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</row>
    <row r="428" spans="1:12" x14ac:dyDescent="0.2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</row>
    <row r="429" spans="1:12" x14ac:dyDescent="0.2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</row>
    <row r="430" spans="1:12" x14ac:dyDescent="0.2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</row>
    <row r="431" spans="1:12" x14ac:dyDescent="0.2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</row>
    <row r="432" spans="1:12" x14ac:dyDescent="0.2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</row>
    <row r="433" spans="1:12" x14ac:dyDescent="0.2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</row>
    <row r="434" spans="1:12" x14ac:dyDescent="0.2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</row>
    <row r="435" spans="1:12" x14ac:dyDescent="0.2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</row>
    <row r="436" spans="1:12" x14ac:dyDescent="0.2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</row>
    <row r="437" spans="1:12" x14ac:dyDescent="0.2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</row>
    <row r="438" spans="1:12" x14ac:dyDescent="0.2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</row>
    <row r="439" spans="1:12" x14ac:dyDescent="0.2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</row>
    <row r="440" spans="1:12" x14ac:dyDescent="0.2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</row>
    <row r="441" spans="1:12" x14ac:dyDescent="0.2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</row>
    <row r="442" spans="1:12" x14ac:dyDescent="0.2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</row>
    <row r="443" spans="1:12" x14ac:dyDescent="0.2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</row>
    <row r="444" spans="1:12" x14ac:dyDescent="0.2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</row>
    <row r="445" spans="1:12" x14ac:dyDescent="0.2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</row>
    <row r="446" spans="1:12" x14ac:dyDescent="0.2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</row>
    <row r="447" spans="1:12" x14ac:dyDescent="0.2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</row>
    <row r="448" spans="1:12" x14ac:dyDescent="0.2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</row>
    <row r="449" spans="1:12" x14ac:dyDescent="0.2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</row>
    <row r="450" spans="1:12" x14ac:dyDescent="0.2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</row>
    <row r="451" spans="1:12" x14ac:dyDescent="0.2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</row>
    <row r="452" spans="1:12" x14ac:dyDescent="0.2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</row>
    <row r="453" spans="1:12" x14ac:dyDescent="0.2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</row>
    <row r="454" spans="1:12" x14ac:dyDescent="0.2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</row>
    <row r="455" spans="1:12" x14ac:dyDescent="0.2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</row>
    <row r="456" spans="1:12" x14ac:dyDescent="0.2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</row>
    <row r="457" spans="1:12" x14ac:dyDescent="0.2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</row>
    <row r="458" spans="1:12" x14ac:dyDescent="0.2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</row>
    <row r="459" spans="1:12" x14ac:dyDescent="0.2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</row>
    <row r="460" spans="1:12" x14ac:dyDescent="0.2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</row>
    <row r="461" spans="1:12" x14ac:dyDescent="0.2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</row>
    <row r="462" spans="1:12" x14ac:dyDescent="0.2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</row>
    <row r="463" spans="1:12" x14ac:dyDescent="0.2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</row>
    <row r="464" spans="1:12" x14ac:dyDescent="0.2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</row>
    <row r="465" spans="1:12" x14ac:dyDescent="0.2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</row>
    <row r="466" spans="1:12" x14ac:dyDescent="0.2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</row>
    <row r="467" spans="1:12" x14ac:dyDescent="0.2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</row>
    <row r="468" spans="1:12" x14ac:dyDescent="0.2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</row>
    <row r="469" spans="1:12" x14ac:dyDescent="0.2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</row>
    <row r="470" spans="1:12" x14ac:dyDescent="0.2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</row>
    <row r="471" spans="1:12" x14ac:dyDescent="0.2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</row>
    <row r="472" spans="1:12" x14ac:dyDescent="0.2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</row>
    <row r="473" spans="1:12" x14ac:dyDescent="0.2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</row>
    <row r="474" spans="1:12" x14ac:dyDescent="0.2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</row>
    <row r="475" spans="1:12" x14ac:dyDescent="0.2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</row>
    <row r="476" spans="1:12" x14ac:dyDescent="0.2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</row>
    <row r="477" spans="1:12" x14ac:dyDescent="0.2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</row>
    <row r="478" spans="1:12" x14ac:dyDescent="0.2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</row>
    <row r="479" spans="1:12" x14ac:dyDescent="0.2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</row>
    <row r="480" spans="1:12" x14ac:dyDescent="0.2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</row>
    <row r="481" spans="1:12" x14ac:dyDescent="0.2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</row>
    <row r="482" spans="1:12" x14ac:dyDescent="0.2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</row>
    <row r="483" spans="1:12" x14ac:dyDescent="0.2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</row>
    <row r="484" spans="1:12" x14ac:dyDescent="0.2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</row>
    <row r="485" spans="1:12" x14ac:dyDescent="0.2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</row>
    <row r="486" spans="1:12" x14ac:dyDescent="0.2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</row>
    <row r="487" spans="1:12" x14ac:dyDescent="0.2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</row>
    <row r="488" spans="1:12" x14ac:dyDescent="0.2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</row>
    <row r="489" spans="1:12" x14ac:dyDescent="0.2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</row>
    <row r="490" spans="1:12" x14ac:dyDescent="0.2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</row>
    <row r="491" spans="1:12" x14ac:dyDescent="0.2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</row>
    <row r="492" spans="1:12" x14ac:dyDescent="0.2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</row>
    <row r="493" spans="1:12" x14ac:dyDescent="0.2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</row>
    <row r="494" spans="1:12" x14ac:dyDescent="0.2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</row>
    <row r="495" spans="1:12" x14ac:dyDescent="0.2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</row>
    <row r="496" spans="1:12" x14ac:dyDescent="0.2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</row>
    <row r="497" spans="1:12" x14ac:dyDescent="0.2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</row>
    <row r="498" spans="1:12" x14ac:dyDescent="0.2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</row>
    <row r="499" spans="1:12" x14ac:dyDescent="0.2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</row>
    <row r="500" spans="1:12" x14ac:dyDescent="0.2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</row>
    <row r="501" spans="1:12" x14ac:dyDescent="0.2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</row>
    <row r="502" spans="1:12" x14ac:dyDescent="0.2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</row>
    <row r="503" spans="1:12" x14ac:dyDescent="0.2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</row>
    <row r="504" spans="1:12" x14ac:dyDescent="0.2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</row>
    <row r="505" spans="1:12" x14ac:dyDescent="0.2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</row>
    <row r="506" spans="1:12" x14ac:dyDescent="0.2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</row>
    <row r="507" spans="1:12" x14ac:dyDescent="0.2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</row>
    <row r="508" spans="1:12" x14ac:dyDescent="0.2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</row>
    <row r="509" spans="1:12" x14ac:dyDescent="0.2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</row>
    <row r="510" spans="1:12" x14ac:dyDescent="0.2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</row>
    <row r="511" spans="1:12" x14ac:dyDescent="0.2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</row>
    <row r="512" spans="1:12" x14ac:dyDescent="0.2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</row>
    <row r="513" spans="1:12" x14ac:dyDescent="0.2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</row>
    <row r="514" spans="1:12" x14ac:dyDescent="0.2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</row>
    <row r="515" spans="1:12" x14ac:dyDescent="0.2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</row>
    <row r="516" spans="1:12" x14ac:dyDescent="0.2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</row>
    <row r="517" spans="1:12" x14ac:dyDescent="0.2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</row>
    <row r="518" spans="1:12" x14ac:dyDescent="0.2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</row>
    <row r="519" spans="1:12" x14ac:dyDescent="0.2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</row>
    <row r="520" spans="1:12" x14ac:dyDescent="0.2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</row>
    <row r="521" spans="1:12" x14ac:dyDescent="0.2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</row>
    <row r="522" spans="1:12" x14ac:dyDescent="0.2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</row>
    <row r="523" spans="1:12" x14ac:dyDescent="0.2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</row>
    <row r="524" spans="1:12" x14ac:dyDescent="0.2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</row>
    <row r="525" spans="1:12" x14ac:dyDescent="0.2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</row>
    <row r="526" spans="1:12" x14ac:dyDescent="0.2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</row>
    <row r="527" spans="1:12" x14ac:dyDescent="0.2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</row>
    <row r="528" spans="1:12" x14ac:dyDescent="0.2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</row>
    <row r="529" spans="1:12" x14ac:dyDescent="0.2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</row>
    <row r="530" spans="1:12" x14ac:dyDescent="0.2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</row>
    <row r="531" spans="1:12" x14ac:dyDescent="0.2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</row>
    <row r="532" spans="1:12" x14ac:dyDescent="0.2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</row>
    <row r="533" spans="1:12" x14ac:dyDescent="0.2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</row>
    <row r="534" spans="1:12" x14ac:dyDescent="0.2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</row>
    <row r="535" spans="1:12" x14ac:dyDescent="0.2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</row>
    <row r="536" spans="1:12" x14ac:dyDescent="0.2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</row>
    <row r="537" spans="1:12" x14ac:dyDescent="0.2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</row>
    <row r="538" spans="1:12" x14ac:dyDescent="0.2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</row>
    <row r="539" spans="1:12" x14ac:dyDescent="0.2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</row>
    <row r="540" spans="1:12" x14ac:dyDescent="0.2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</row>
    <row r="541" spans="1:12" x14ac:dyDescent="0.2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</row>
    <row r="542" spans="1:12" x14ac:dyDescent="0.2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</row>
    <row r="543" spans="1:12" x14ac:dyDescent="0.2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</row>
    <row r="544" spans="1:12" x14ac:dyDescent="0.2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</row>
    <row r="545" spans="1:12" x14ac:dyDescent="0.2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</row>
    <row r="546" spans="1:12" x14ac:dyDescent="0.2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</row>
    <row r="547" spans="1:12" x14ac:dyDescent="0.2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</row>
    <row r="548" spans="1:12" x14ac:dyDescent="0.2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</row>
    <row r="549" spans="1:12" x14ac:dyDescent="0.2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</row>
    <row r="550" spans="1:12" x14ac:dyDescent="0.2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</row>
    <row r="551" spans="1:12" x14ac:dyDescent="0.2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</row>
    <row r="552" spans="1:12" x14ac:dyDescent="0.2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</row>
    <row r="553" spans="1:12" x14ac:dyDescent="0.2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</row>
    <row r="554" spans="1:12" x14ac:dyDescent="0.2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</row>
    <row r="555" spans="1:12" x14ac:dyDescent="0.2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</row>
    <row r="556" spans="1:12" x14ac:dyDescent="0.2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</row>
    <row r="557" spans="1:12" x14ac:dyDescent="0.2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</row>
    <row r="558" spans="1:12" x14ac:dyDescent="0.2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</row>
    <row r="559" spans="1:12" x14ac:dyDescent="0.2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</row>
    <row r="560" spans="1:12" x14ac:dyDescent="0.2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</row>
    <row r="561" spans="1:12" x14ac:dyDescent="0.2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</row>
    <row r="562" spans="1:12" x14ac:dyDescent="0.2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</row>
    <row r="563" spans="1:12" x14ac:dyDescent="0.2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</row>
    <row r="564" spans="1:12" x14ac:dyDescent="0.2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</row>
    <row r="565" spans="1:12" x14ac:dyDescent="0.2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</row>
    <row r="566" spans="1:12" x14ac:dyDescent="0.2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</row>
    <row r="567" spans="1:12" x14ac:dyDescent="0.2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</row>
    <row r="568" spans="1:12" x14ac:dyDescent="0.2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</row>
    <row r="569" spans="1:12" x14ac:dyDescent="0.2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</row>
    <row r="570" spans="1:12" x14ac:dyDescent="0.2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</row>
    <row r="571" spans="1:12" x14ac:dyDescent="0.2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</row>
  </sheetData>
  <customSheetViews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C114"/>
  <sheetViews>
    <sheetView topLeftCell="A79" workbookViewId="0">
      <selection activeCell="A121" sqref="A121"/>
    </sheetView>
  </sheetViews>
  <sheetFormatPr defaultRowHeight="12.75" x14ac:dyDescent="0.2"/>
  <cols>
    <col min="1" max="1" width="73.28515625" customWidth="1"/>
  </cols>
  <sheetData>
    <row r="1" spans="1:1" x14ac:dyDescent="0.2">
      <c r="A1" s="32" t="s">
        <v>688</v>
      </c>
    </row>
    <row r="2" spans="1:1" x14ac:dyDescent="0.2">
      <c r="A2" s="32" t="s">
        <v>689</v>
      </c>
    </row>
    <row r="3" spans="1:1" x14ac:dyDescent="0.2">
      <c r="A3" s="32" t="s">
        <v>690</v>
      </c>
    </row>
    <row r="4" spans="1:1" x14ac:dyDescent="0.2">
      <c r="A4" s="32" t="s">
        <v>691</v>
      </c>
    </row>
    <row r="5" spans="1:1" x14ac:dyDescent="0.2">
      <c r="A5" s="32" t="s">
        <v>692</v>
      </c>
    </row>
    <row r="6" spans="1:1" x14ac:dyDescent="0.2">
      <c r="A6" s="32" t="s">
        <v>693</v>
      </c>
    </row>
    <row r="7" spans="1:1" x14ac:dyDescent="0.2">
      <c r="A7" s="32" t="s">
        <v>694</v>
      </c>
    </row>
    <row r="8" spans="1:1" x14ac:dyDescent="0.2">
      <c r="A8" s="32" t="s">
        <v>695</v>
      </c>
    </row>
    <row r="9" spans="1:1" x14ac:dyDescent="0.2">
      <c r="A9" s="32" t="s">
        <v>696</v>
      </c>
    </row>
    <row r="10" spans="1:1" x14ac:dyDescent="0.2">
      <c r="A10" s="32" t="s">
        <v>697</v>
      </c>
    </row>
    <row r="11" spans="1:1" x14ac:dyDescent="0.2">
      <c r="A11" s="32" t="s">
        <v>698</v>
      </c>
    </row>
    <row r="12" spans="1:1" x14ac:dyDescent="0.2">
      <c r="A12" s="32" t="s">
        <v>626</v>
      </c>
    </row>
    <row r="13" spans="1:1" x14ac:dyDescent="0.2">
      <c r="A13" s="32" t="s">
        <v>699</v>
      </c>
    </row>
    <row r="14" spans="1:1" x14ac:dyDescent="0.2">
      <c r="A14" s="32" t="s">
        <v>700</v>
      </c>
    </row>
    <row r="15" spans="1:1" x14ac:dyDescent="0.2">
      <c r="A15" s="32" t="s">
        <v>701</v>
      </c>
    </row>
    <row r="16" spans="1:1" x14ac:dyDescent="0.2">
      <c r="A16" s="32" t="s">
        <v>702</v>
      </c>
    </row>
    <row r="17" spans="1:1" x14ac:dyDescent="0.2">
      <c r="A17" s="32" t="s">
        <v>703</v>
      </c>
    </row>
    <row r="18" spans="1:1" x14ac:dyDescent="0.2">
      <c r="A18" s="32" t="s">
        <v>627</v>
      </c>
    </row>
    <row r="19" spans="1:1" x14ac:dyDescent="0.2">
      <c r="A19" s="32" t="s">
        <v>707</v>
      </c>
    </row>
    <row r="20" spans="1:1" x14ac:dyDescent="0.2">
      <c r="A20" s="32" t="s">
        <v>708</v>
      </c>
    </row>
    <row r="21" spans="1:1" x14ac:dyDescent="0.2">
      <c r="A21" s="32" t="s">
        <v>709</v>
      </c>
    </row>
    <row r="22" spans="1:1" x14ac:dyDescent="0.2">
      <c r="A22" s="32" t="s">
        <v>710</v>
      </c>
    </row>
    <row r="23" spans="1:1" x14ac:dyDescent="0.2">
      <c r="A23" s="32" t="s">
        <v>711</v>
      </c>
    </row>
    <row r="24" spans="1:1" x14ac:dyDescent="0.2">
      <c r="A24" s="32" t="s">
        <v>712</v>
      </c>
    </row>
    <row r="25" spans="1:1" x14ac:dyDescent="0.2">
      <c r="A25" s="32" t="s">
        <v>713</v>
      </c>
    </row>
    <row r="26" spans="1:1" x14ac:dyDescent="0.2">
      <c r="A26" s="32" t="s">
        <v>714</v>
      </c>
    </row>
    <row r="27" spans="1:1" x14ac:dyDescent="0.2">
      <c r="A27" s="32" t="s">
        <v>715</v>
      </c>
    </row>
    <row r="28" spans="1:1" x14ac:dyDescent="0.2">
      <c r="A28" s="32" t="s">
        <v>716</v>
      </c>
    </row>
    <row r="29" spans="1:1" x14ac:dyDescent="0.2">
      <c r="A29" s="32" t="s">
        <v>717</v>
      </c>
    </row>
    <row r="30" spans="1:1" x14ac:dyDescent="0.2">
      <c r="A30" s="32" t="s">
        <v>718</v>
      </c>
    </row>
    <row r="31" spans="1:1" x14ac:dyDescent="0.2">
      <c r="A31" s="32" t="s">
        <v>719</v>
      </c>
    </row>
    <row r="32" spans="1:1" x14ac:dyDescent="0.2">
      <c r="A32" s="32" t="s">
        <v>720</v>
      </c>
    </row>
    <row r="33" spans="1:1" x14ac:dyDescent="0.2">
      <c r="A33" s="32" t="s">
        <v>721</v>
      </c>
    </row>
    <row r="34" spans="1:1" x14ac:dyDescent="0.2">
      <c r="A34" s="32" t="s">
        <v>722</v>
      </c>
    </row>
    <row r="35" spans="1:1" x14ac:dyDescent="0.2">
      <c r="A35" s="32" t="s">
        <v>723</v>
      </c>
    </row>
    <row r="36" spans="1:1" x14ac:dyDescent="0.2">
      <c r="A36" s="32" t="s">
        <v>724</v>
      </c>
    </row>
    <row r="37" spans="1:1" x14ac:dyDescent="0.2">
      <c r="A37" s="32" t="s">
        <v>725</v>
      </c>
    </row>
    <row r="38" spans="1:1" x14ac:dyDescent="0.2">
      <c r="A38" s="32" t="s">
        <v>726</v>
      </c>
    </row>
    <row r="39" spans="1:1" x14ac:dyDescent="0.2">
      <c r="A39" s="32" t="s">
        <v>727</v>
      </c>
    </row>
    <row r="40" spans="1:1" x14ac:dyDescent="0.2">
      <c r="A40" s="32" t="s">
        <v>728</v>
      </c>
    </row>
    <row r="41" spans="1:1" x14ac:dyDescent="0.2">
      <c r="A41" s="32" t="s">
        <v>292</v>
      </c>
    </row>
    <row r="42" spans="1:1" x14ac:dyDescent="0.2">
      <c r="A42" s="32" t="s">
        <v>729</v>
      </c>
    </row>
    <row r="43" spans="1:1" x14ac:dyDescent="0.2">
      <c r="A43" s="32" t="s">
        <v>730</v>
      </c>
    </row>
    <row r="44" spans="1:1" x14ac:dyDescent="0.2">
      <c r="A44" s="32" t="s">
        <v>452</v>
      </c>
    </row>
    <row r="45" spans="1:1" x14ac:dyDescent="0.2">
      <c r="A45" s="32" t="s">
        <v>731</v>
      </c>
    </row>
    <row r="46" spans="1:1" x14ac:dyDescent="0.2">
      <c r="A46" s="32" t="s">
        <v>732</v>
      </c>
    </row>
    <row r="47" spans="1:1" x14ac:dyDescent="0.2">
      <c r="A47" s="32" t="s">
        <v>733</v>
      </c>
    </row>
    <row r="48" spans="1:1" x14ac:dyDescent="0.2">
      <c r="A48" s="32" t="s">
        <v>734</v>
      </c>
    </row>
    <row r="49" spans="1:1" x14ac:dyDescent="0.2">
      <c r="A49" s="32" t="s">
        <v>735</v>
      </c>
    </row>
    <row r="50" spans="1:1" x14ac:dyDescent="0.2">
      <c r="A50" s="32" t="s">
        <v>736</v>
      </c>
    </row>
    <row r="51" spans="1:1" x14ac:dyDescent="0.2">
      <c r="A51" s="32" t="s">
        <v>737</v>
      </c>
    </row>
    <row r="52" spans="1:1" x14ac:dyDescent="0.2">
      <c r="A52" s="32" t="s">
        <v>738</v>
      </c>
    </row>
    <row r="53" spans="1:1" x14ac:dyDescent="0.2">
      <c r="A53" s="32" t="s">
        <v>739</v>
      </c>
    </row>
    <row r="54" spans="1:1" x14ac:dyDescent="0.2">
      <c r="A54" s="32" t="s">
        <v>740</v>
      </c>
    </row>
    <row r="55" spans="1:1" x14ac:dyDescent="0.2">
      <c r="A55" s="32" t="s">
        <v>741</v>
      </c>
    </row>
    <row r="56" spans="1:1" x14ac:dyDescent="0.2">
      <c r="A56" s="32" t="s">
        <v>742</v>
      </c>
    </row>
    <row r="57" spans="1:1" x14ac:dyDescent="0.2">
      <c r="A57" s="32" t="s">
        <v>743</v>
      </c>
    </row>
    <row r="58" spans="1:1" x14ac:dyDescent="0.2">
      <c r="A58" s="32" t="s">
        <v>744</v>
      </c>
    </row>
    <row r="59" spans="1:1" x14ac:dyDescent="0.2">
      <c r="A59" s="32" t="s">
        <v>745</v>
      </c>
    </row>
    <row r="60" spans="1:1" x14ac:dyDescent="0.2">
      <c r="A60" s="32" t="s">
        <v>746</v>
      </c>
    </row>
    <row r="61" spans="1:1" x14ac:dyDescent="0.2">
      <c r="A61" s="32" t="s">
        <v>747</v>
      </c>
    </row>
    <row r="62" spans="1:1" x14ac:dyDescent="0.2">
      <c r="A62" s="32" t="s">
        <v>748</v>
      </c>
    </row>
    <row r="63" spans="1:1" x14ac:dyDescent="0.2">
      <c r="A63" s="32" t="s">
        <v>749</v>
      </c>
    </row>
    <row r="64" spans="1:1" x14ac:dyDescent="0.2">
      <c r="A64" s="32" t="s">
        <v>750</v>
      </c>
    </row>
    <row r="65" spans="1:1" x14ac:dyDescent="0.2">
      <c r="A65" s="32" t="s">
        <v>751</v>
      </c>
    </row>
    <row r="66" spans="1:1" x14ac:dyDescent="0.2">
      <c r="A66" s="32" t="s">
        <v>752</v>
      </c>
    </row>
    <row r="67" spans="1:1" x14ac:dyDescent="0.2">
      <c r="A67" s="32" t="s">
        <v>753</v>
      </c>
    </row>
    <row r="68" spans="1:1" x14ac:dyDescent="0.2">
      <c r="A68" s="32" t="s">
        <v>754</v>
      </c>
    </row>
    <row r="69" spans="1:1" x14ac:dyDescent="0.2">
      <c r="A69" s="32" t="s">
        <v>755</v>
      </c>
    </row>
    <row r="70" spans="1:1" x14ac:dyDescent="0.2">
      <c r="A70" s="32" t="s">
        <v>756</v>
      </c>
    </row>
    <row r="71" spans="1:1" x14ac:dyDescent="0.2">
      <c r="A71" s="32" t="s">
        <v>757</v>
      </c>
    </row>
    <row r="72" spans="1:1" x14ac:dyDescent="0.2">
      <c r="A72" s="32" t="s">
        <v>758</v>
      </c>
    </row>
    <row r="73" spans="1:1" x14ac:dyDescent="0.2">
      <c r="A73" s="32" t="s">
        <v>759</v>
      </c>
    </row>
    <row r="74" spans="1:1" x14ac:dyDescent="0.2">
      <c r="A74" s="32" t="s">
        <v>760</v>
      </c>
    </row>
    <row r="75" spans="1:1" x14ac:dyDescent="0.2">
      <c r="A75" s="32" t="s">
        <v>761</v>
      </c>
    </row>
    <row r="76" spans="1:1" x14ac:dyDescent="0.2">
      <c r="A76" s="32" t="s">
        <v>762</v>
      </c>
    </row>
    <row r="77" spans="1:1" x14ac:dyDescent="0.2">
      <c r="A77" s="32" t="s">
        <v>763</v>
      </c>
    </row>
    <row r="78" spans="1:1" x14ac:dyDescent="0.2">
      <c r="A78" s="32" t="s">
        <v>764</v>
      </c>
    </row>
    <row r="79" spans="1:1" x14ac:dyDescent="0.2">
      <c r="A79" s="32" t="s">
        <v>765</v>
      </c>
    </row>
    <row r="80" spans="1:1" x14ac:dyDescent="0.2">
      <c r="A80" s="32" t="s">
        <v>766</v>
      </c>
    </row>
    <row r="81" spans="1:3" x14ac:dyDescent="0.2">
      <c r="A81" s="32" t="s">
        <v>767</v>
      </c>
    </row>
    <row r="82" spans="1:3" x14ac:dyDescent="0.2">
      <c r="A82" s="32" t="s">
        <v>768</v>
      </c>
    </row>
    <row r="83" spans="1:3" x14ac:dyDescent="0.2">
      <c r="A83" s="32" t="s">
        <v>769</v>
      </c>
    </row>
    <row r="84" spans="1:3" x14ac:dyDescent="0.2">
      <c r="A84" s="32" t="s">
        <v>770</v>
      </c>
    </row>
    <row r="85" spans="1:3" x14ac:dyDescent="0.2">
      <c r="A85" s="32"/>
    </row>
    <row r="86" spans="1:3" x14ac:dyDescent="0.2">
      <c r="A86" s="32"/>
    </row>
    <row r="87" spans="1:3" x14ac:dyDescent="0.2">
      <c r="A87" s="32"/>
    </row>
    <row r="88" spans="1:3" x14ac:dyDescent="0.2">
      <c r="A88" s="32"/>
    </row>
    <row r="92" spans="1:3" x14ac:dyDescent="0.2">
      <c r="A92" s="33" t="s">
        <v>897</v>
      </c>
      <c r="B92" s="31">
        <v>12</v>
      </c>
      <c r="C92" s="31"/>
    </row>
    <row r="93" spans="1:3" x14ac:dyDescent="0.2">
      <c r="A93" s="34" t="s">
        <v>902</v>
      </c>
      <c r="B93" s="31">
        <v>25</v>
      </c>
      <c r="C93" s="31"/>
    </row>
    <row r="94" spans="1:3" x14ac:dyDescent="0.2">
      <c r="A94" s="34" t="s">
        <v>889</v>
      </c>
      <c r="B94" s="31">
        <v>26</v>
      </c>
      <c r="C94" s="31"/>
    </row>
    <row r="95" spans="1:3" x14ac:dyDescent="0.2">
      <c r="A95" s="34" t="s">
        <v>890</v>
      </c>
      <c r="B95" s="31">
        <v>28</v>
      </c>
      <c r="C95" s="31"/>
    </row>
    <row r="96" spans="1:3" x14ac:dyDescent="0.2">
      <c r="A96" s="34" t="s">
        <v>891</v>
      </c>
      <c r="B96" s="31">
        <v>32</v>
      </c>
      <c r="C96" s="31"/>
    </row>
    <row r="97" spans="1:3" x14ac:dyDescent="0.2">
      <c r="A97" s="34" t="s">
        <v>892</v>
      </c>
      <c r="B97" s="31">
        <v>34</v>
      </c>
      <c r="C97" s="31"/>
    </row>
    <row r="98" spans="1:3" x14ac:dyDescent="0.2">
      <c r="A98" s="34" t="s">
        <v>893</v>
      </c>
      <c r="B98" s="31">
        <v>44</v>
      </c>
      <c r="C98" s="31"/>
    </row>
    <row r="99" spans="1:3" x14ac:dyDescent="0.2">
      <c r="A99" s="34" t="s">
        <v>894</v>
      </c>
      <c r="B99" s="31">
        <v>90</v>
      </c>
      <c r="C99" s="31"/>
    </row>
    <row r="100" spans="1:3" x14ac:dyDescent="0.2">
      <c r="A100" s="34" t="s">
        <v>679</v>
      </c>
      <c r="B100" s="31">
        <v>112</v>
      </c>
      <c r="C100" s="31"/>
    </row>
    <row r="101" spans="1:3" x14ac:dyDescent="0.2">
      <c r="A101" s="34" t="s">
        <v>676</v>
      </c>
      <c r="B101" s="31">
        <v>117</v>
      </c>
      <c r="C101" s="31"/>
    </row>
    <row r="102" spans="1:3" x14ac:dyDescent="0.2">
      <c r="A102" s="34" t="s">
        <v>677</v>
      </c>
      <c r="B102" s="31">
        <v>135</v>
      </c>
      <c r="C102" s="31"/>
    </row>
    <row r="103" spans="1:3" x14ac:dyDescent="0.2">
      <c r="A103" s="34" t="s">
        <v>678</v>
      </c>
      <c r="B103" s="31">
        <v>187</v>
      </c>
      <c r="C103" s="31"/>
    </row>
    <row r="104" spans="1:3" x14ac:dyDescent="0.2">
      <c r="A104" s="34" t="s">
        <v>500</v>
      </c>
      <c r="B104" s="31">
        <v>253</v>
      </c>
      <c r="C104" s="31"/>
    </row>
    <row r="105" spans="1:3" x14ac:dyDescent="0.2">
      <c r="A105" s="34" t="s">
        <v>56</v>
      </c>
      <c r="B105" s="31">
        <v>257</v>
      </c>
      <c r="C105" s="31"/>
    </row>
    <row r="106" spans="1:3" x14ac:dyDescent="0.2">
      <c r="A106" s="34" t="s">
        <v>65</v>
      </c>
      <c r="B106" s="31">
        <v>298</v>
      </c>
      <c r="C106" s="31"/>
    </row>
    <row r="107" spans="1:3" x14ac:dyDescent="0.2">
      <c r="A107" s="7" t="s">
        <v>75</v>
      </c>
      <c r="B107" s="31">
        <v>345</v>
      </c>
      <c r="C107" s="31"/>
    </row>
    <row r="108" spans="1:3" x14ac:dyDescent="0.2">
      <c r="A108" s="34" t="s">
        <v>93</v>
      </c>
      <c r="B108" s="31">
        <v>374</v>
      </c>
      <c r="C108" s="31"/>
    </row>
    <row r="109" spans="1:3" x14ac:dyDescent="0.2">
      <c r="A109" s="34" t="s">
        <v>154</v>
      </c>
      <c r="B109" s="46">
        <v>482</v>
      </c>
      <c r="C109" s="31"/>
    </row>
    <row r="110" spans="1:3" x14ac:dyDescent="0.2">
      <c r="A110" s="148" t="s">
        <v>167</v>
      </c>
      <c r="B110" s="46">
        <v>544</v>
      </c>
      <c r="C110" s="31"/>
    </row>
    <row r="111" spans="1:3" x14ac:dyDescent="0.2">
      <c r="A111" s="148" t="s">
        <v>179</v>
      </c>
      <c r="B111" s="46">
        <v>569</v>
      </c>
      <c r="C111" s="31"/>
    </row>
    <row r="112" spans="1:3" x14ac:dyDescent="0.2">
      <c r="A112" s="148" t="s">
        <v>229</v>
      </c>
      <c r="B112" s="46">
        <v>594</v>
      </c>
      <c r="C112" s="31"/>
    </row>
    <row r="113" spans="1:3" x14ac:dyDescent="0.2">
      <c r="A113" s="148" t="s">
        <v>259</v>
      </c>
      <c r="B113" s="46">
        <v>636</v>
      </c>
      <c r="C113" s="31"/>
    </row>
    <row r="114" spans="1:3" x14ac:dyDescent="0.2">
      <c r="A114" s="149" t="s">
        <v>263</v>
      </c>
      <c r="B114" s="46">
        <v>651</v>
      </c>
      <c r="C114" s="31"/>
    </row>
  </sheetData>
  <customSheetViews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Форма_2п</vt:lpstr>
      <vt:lpstr>Форма_3п</vt:lpstr>
      <vt:lpstr>пер2 СНГ</vt:lpstr>
      <vt:lpstr>Пер2СНГБеларусь</vt:lpstr>
      <vt:lpstr>пер2 вне СНГ</vt:lpstr>
      <vt:lpstr>Errors</vt:lpstr>
      <vt:lpstr>Шаблон</vt:lpstr>
      <vt:lpstr>Cond_2p</vt:lpstr>
      <vt:lpstr>Subjects</vt:lpstr>
      <vt:lpstr>Cond_3p</vt:lpstr>
      <vt:lpstr>Форма_2п!Заголовки_для_печати</vt:lpstr>
      <vt:lpstr>Cond_2p!Область_печати</vt:lpstr>
      <vt:lpstr>Форма_2п!Область_печати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Степан Г. Федяев</cp:lastModifiedBy>
  <dcterms:modified xsi:type="dcterms:W3CDTF">2015-11-30T05:23:30Z</dcterms:modified>
</cp:coreProperties>
</file>