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08" windowWidth="15120" windowHeight="8016" firstSheet="1" activeTab="2"/>
  </bookViews>
  <sheets>
    <sheet name="20 год" sheetId="7" r:id="rId1"/>
    <sheet name="23-25года с фед. для  И.В." sheetId="12" r:id="rId2"/>
    <sheet name="24-26года " sheetId="13" r:id="rId3"/>
    <sheet name="23-25года с федеральными" sheetId="11" r:id="rId4"/>
    <sheet name="22-25года 1 чтение)" sheetId="10" r:id="rId5"/>
    <sheet name="22-24года +" sheetId="9" r:id="rId6"/>
  </sheets>
  <definedNames>
    <definedName name="_xlnm._FilterDatabase" localSheetId="3" hidden="1">'23-25года с федеральными'!$A$3:$AC$3</definedName>
    <definedName name="_xlnm._FilterDatabase" localSheetId="2" hidden="1">'24-26года '!$A$1:$AJ$84</definedName>
    <definedName name="_xlnm.Print_Titles" localSheetId="0">'20 год'!$A:$E</definedName>
    <definedName name="_xlnm.Print_Titles" localSheetId="5">'22-24года +'!$A:$E</definedName>
    <definedName name="_xlnm.Print_Titles" localSheetId="4">'22-25года 1 чтение)'!$A:$E</definedName>
    <definedName name="_xlnm.Print_Titles" localSheetId="1">'23-25года с фед. для  И.В.'!$A:$E</definedName>
    <definedName name="_xlnm.Print_Titles" localSheetId="3">'23-25года с федеральными'!$A:$E,'23-25года с федеральными'!$4:$4</definedName>
    <definedName name="_xlnm.Print_Titles" localSheetId="2">'24-26года '!$A:$E,'24-26года '!$4:$4</definedName>
  </definedNames>
  <calcPr calcId="145621"/>
</workbook>
</file>

<file path=xl/calcChain.xml><?xml version="1.0" encoding="utf-8"?>
<calcChain xmlns="http://schemas.openxmlformats.org/spreadsheetml/2006/main">
  <c r="AJ19" i="13" l="1"/>
  <c r="AL20" i="13"/>
  <c r="AI20" i="13" s="1"/>
  <c r="P83" i="13"/>
  <c r="R83" i="13"/>
  <c r="AA83" i="13"/>
  <c r="AB83" i="13"/>
  <c r="AD83" i="13"/>
  <c r="AE83" i="13"/>
  <c r="AF83" i="13"/>
  <c r="AH83" i="13"/>
  <c r="P84" i="13"/>
  <c r="R84" i="13"/>
  <c r="Y84" i="13"/>
  <c r="AA84" i="13"/>
  <c r="AB84" i="13"/>
  <c r="AC84" i="13"/>
  <c r="AD84" i="13"/>
  <c r="AE84" i="13"/>
  <c r="AF84" i="13"/>
  <c r="AG84" i="13"/>
  <c r="AH84" i="13"/>
  <c r="J84" i="13"/>
  <c r="K84" i="13"/>
  <c r="N84" i="13"/>
  <c r="O84" i="13"/>
  <c r="AJ83" i="13"/>
  <c r="V20" i="13"/>
  <c r="T20" i="13"/>
  <c r="AI7" i="13"/>
  <c r="AJ7" i="13"/>
  <c r="AE7" i="13"/>
  <c r="AF7" i="13"/>
  <c r="AG7" i="13"/>
  <c r="AH7" i="13"/>
  <c r="AD7" i="13"/>
  <c r="AH79" i="13"/>
  <c r="AH80" i="13"/>
  <c r="P79" i="13"/>
  <c r="R79" i="13"/>
  <c r="R91" i="13" s="1"/>
  <c r="Y79" i="13"/>
  <c r="AA79" i="13"/>
  <c r="AB79" i="13"/>
  <c r="AC79" i="13"/>
  <c r="AD79" i="13"/>
  <c r="AE79" i="13"/>
  <c r="AF79" i="13"/>
  <c r="AF91" i="13" s="1"/>
  <c r="AG79" i="13"/>
  <c r="AI79" i="13"/>
  <c r="P80" i="13"/>
  <c r="R80" i="13"/>
  <c r="Y80" i="13"/>
  <c r="Z80" i="13"/>
  <c r="AA80" i="13"/>
  <c r="AB80" i="13"/>
  <c r="AC80" i="13"/>
  <c r="AD80" i="13"/>
  <c r="AE80" i="13"/>
  <c r="AF80" i="13"/>
  <c r="AG80" i="13"/>
  <c r="AI80" i="13"/>
  <c r="P81" i="13"/>
  <c r="R81" i="13"/>
  <c r="Y81" i="13"/>
  <c r="Z81" i="13"/>
  <c r="AA81" i="13"/>
  <c r="AB81" i="13"/>
  <c r="AC81" i="13"/>
  <c r="AE81" i="13"/>
  <c r="AF81" i="13"/>
  <c r="AG81" i="13"/>
  <c r="AI81" i="13"/>
  <c r="P82" i="13"/>
  <c r="R82" i="13"/>
  <c r="Y82" i="13"/>
  <c r="AA82" i="13"/>
  <c r="AE82" i="13"/>
  <c r="AF82" i="13"/>
  <c r="AH82" i="13"/>
  <c r="AI82" i="13"/>
  <c r="AJ80" i="13"/>
  <c r="AI83" i="13" l="1"/>
  <c r="AI91" i="13" s="1"/>
  <c r="AI19" i="13"/>
  <c r="AI84" i="13" s="1"/>
  <c r="AA91" i="13"/>
  <c r="AE91" i="13"/>
  <c r="W20" i="13"/>
  <c r="AJ79" i="13"/>
  <c r="AJ82" i="13"/>
  <c r="AJ84" i="13"/>
  <c r="AJ66" i="13" l="1"/>
  <c r="AJ81" i="13" s="1"/>
  <c r="AJ91" i="13" s="1"/>
  <c r="AH66" i="13"/>
  <c r="AH81" i="13" s="1"/>
  <c r="AH91" i="13" s="1"/>
  <c r="AD66" i="13"/>
  <c r="AD81" i="13" s="1"/>
  <c r="V48" i="13"/>
  <c r="W48" i="13"/>
  <c r="T48" i="13"/>
  <c r="AJ31" i="13"/>
  <c r="AJ13" i="13" s="1"/>
  <c r="W23" i="13"/>
  <c r="V23" i="13"/>
  <c r="T23" i="13"/>
  <c r="AD22" i="13"/>
  <c r="AD82" i="13" s="1"/>
  <c r="AB22" i="13"/>
  <c r="AB82" i="13" s="1"/>
  <c r="AB91" i="13" s="1"/>
  <c r="V35" i="13"/>
  <c r="W35" i="13"/>
  <c r="T35" i="13"/>
  <c r="AD31" i="13"/>
  <c r="W8" i="13"/>
  <c r="V8" i="13"/>
  <c r="T8" i="13"/>
  <c r="W73" i="13"/>
  <c r="V73" i="13"/>
  <c r="W72" i="13"/>
  <c r="V72" i="13"/>
  <c r="W71" i="13"/>
  <c r="V71" i="13"/>
  <c r="W68" i="13"/>
  <c r="W83" i="13" s="1"/>
  <c r="V68" i="13"/>
  <c r="W67" i="13"/>
  <c r="V67" i="13"/>
  <c r="V66" i="13"/>
  <c r="W65" i="13"/>
  <c r="V65" i="13"/>
  <c r="W64" i="13"/>
  <c r="V64" i="13"/>
  <c r="W63" i="13"/>
  <c r="V63" i="13"/>
  <c r="W62" i="13"/>
  <c r="V62" i="13"/>
  <c r="W61" i="13"/>
  <c r="V61" i="13"/>
  <c r="W60" i="13"/>
  <c r="V60" i="13"/>
  <c r="W59" i="13"/>
  <c r="V59" i="13"/>
  <c r="W58" i="13"/>
  <c r="V58" i="13"/>
  <c r="W57" i="13"/>
  <c r="V57" i="13"/>
  <c r="W56" i="13"/>
  <c r="V56" i="13"/>
  <c r="W55" i="13"/>
  <c r="V55" i="13"/>
  <c r="W54" i="13"/>
  <c r="V54" i="13"/>
  <c r="W53" i="13"/>
  <c r="V53" i="13"/>
  <c r="W50" i="13"/>
  <c r="V50" i="13"/>
  <c r="W49" i="13"/>
  <c r="V49" i="13"/>
  <c r="W47" i="13"/>
  <c r="V47" i="13"/>
  <c r="W46" i="13"/>
  <c r="V46" i="13"/>
  <c r="W45" i="13"/>
  <c r="V45" i="13"/>
  <c r="W44" i="13"/>
  <c r="V44" i="13"/>
  <c r="W43" i="13"/>
  <c r="V43" i="13"/>
  <c r="W42" i="13"/>
  <c r="V42" i="13"/>
  <c r="W41" i="13"/>
  <c r="V41" i="13"/>
  <c r="W40" i="13"/>
  <c r="V40" i="13"/>
  <c r="W39" i="13"/>
  <c r="V39" i="13"/>
  <c r="W38" i="13"/>
  <c r="V38" i="13"/>
  <c r="W37" i="13"/>
  <c r="V37" i="13"/>
  <c r="W36" i="13"/>
  <c r="V36" i="13"/>
  <c r="W34" i="13"/>
  <c r="V34" i="13"/>
  <c r="W33" i="13"/>
  <c r="V33" i="13"/>
  <c r="W32" i="13"/>
  <c r="V32" i="13"/>
  <c r="W12" i="13"/>
  <c r="V12" i="13"/>
  <c r="W30" i="13"/>
  <c r="V30" i="13"/>
  <c r="W29" i="13"/>
  <c r="V29" i="13"/>
  <c r="W28" i="13"/>
  <c r="V28" i="13"/>
  <c r="W27" i="13"/>
  <c r="V27" i="13"/>
  <c r="W26" i="13"/>
  <c r="V26" i="13"/>
  <c r="V80" i="13" s="1"/>
  <c r="W25" i="13"/>
  <c r="V25" i="13"/>
  <c r="W24" i="13"/>
  <c r="V24" i="13"/>
  <c r="W22" i="13"/>
  <c r="V22" i="13"/>
  <c r="W21" i="13"/>
  <c r="V21" i="13"/>
  <c r="W19" i="13"/>
  <c r="V19" i="13"/>
  <c r="W18" i="13"/>
  <c r="V18" i="13"/>
  <c r="W17" i="13"/>
  <c r="V17" i="13"/>
  <c r="W16" i="13"/>
  <c r="V16" i="13"/>
  <c r="V82" i="13" s="1"/>
  <c r="W15" i="13"/>
  <c r="V15" i="13"/>
  <c r="W14" i="13"/>
  <c r="V14" i="13"/>
  <c r="W11" i="13"/>
  <c r="V11" i="13"/>
  <c r="W10" i="13"/>
  <c r="V10" i="13"/>
  <c r="V79" i="13" s="1"/>
  <c r="T73" i="13"/>
  <c r="T72" i="13"/>
  <c r="T71" i="13"/>
  <c r="T68" i="13"/>
  <c r="T67" i="13"/>
  <c r="T66" i="13"/>
  <c r="T65" i="13"/>
  <c r="T64" i="13"/>
  <c r="T63" i="13"/>
  <c r="T62" i="13"/>
  <c r="T61" i="13"/>
  <c r="T60" i="13"/>
  <c r="T59" i="13"/>
  <c r="T58" i="13"/>
  <c r="T57" i="13"/>
  <c r="T56" i="13"/>
  <c r="T55" i="13"/>
  <c r="T54" i="13"/>
  <c r="T53" i="13"/>
  <c r="T50" i="13"/>
  <c r="T49" i="13"/>
  <c r="T47" i="13"/>
  <c r="T46" i="13"/>
  <c r="T45" i="13"/>
  <c r="T44" i="13"/>
  <c r="T81" i="13" s="1"/>
  <c r="T43" i="13"/>
  <c r="T42" i="13"/>
  <c r="T41" i="13"/>
  <c r="T40" i="13"/>
  <c r="T39" i="13"/>
  <c r="T38" i="13"/>
  <c r="T37" i="13"/>
  <c r="T36" i="13"/>
  <c r="T34" i="13"/>
  <c r="T33" i="13"/>
  <c r="T32" i="13"/>
  <c r="T30" i="13"/>
  <c r="T29" i="13"/>
  <c r="T28" i="13"/>
  <c r="T27" i="13"/>
  <c r="T26" i="13"/>
  <c r="T25" i="13"/>
  <c r="T24" i="13"/>
  <c r="T22" i="13"/>
  <c r="T21" i="13"/>
  <c r="T19" i="13"/>
  <c r="T18" i="13"/>
  <c r="T17" i="13"/>
  <c r="T16" i="13"/>
  <c r="T15" i="13"/>
  <c r="T14" i="13"/>
  <c r="T12" i="13"/>
  <c r="T11" i="13"/>
  <c r="T10" i="13"/>
  <c r="W9" i="13"/>
  <c r="V9" i="13"/>
  <c r="V84" i="13" s="1"/>
  <c r="T9" i="13"/>
  <c r="AJ74" i="13"/>
  <c r="AI74" i="13"/>
  <c r="AJ70" i="13"/>
  <c r="AI70" i="13"/>
  <c r="AJ52" i="13"/>
  <c r="AI52" i="13"/>
  <c r="AI51" i="13" s="1"/>
  <c r="AI31" i="13"/>
  <c r="AI13" i="13" s="1"/>
  <c r="AH74" i="13"/>
  <c r="AH70" i="13"/>
  <c r="AH52" i="13"/>
  <c r="AH31" i="13"/>
  <c r="AH13" i="13" s="1"/>
  <c r="AF74" i="13"/>
  <c r="AF70" i="13"/>
  <c r="AF52" i="13"/>
  <c r="AF51" i="13" s="1"/>
  <c r="AF31" i="13"/>
  <c r="AF13" i="13" s="1"/>
  <c r="AD74" i="13"/>
  <c r="AD70" i="13"/>
  <c r="AD52" i="13"/>
  <c r="AD51" i="13" s="1"/>
  <c r="AB74" i="13"/>
  <c r="AB70" i="13"/>
  <c r="AB52" i="13"/>
  <c r="AB51" i="13" s="1"/>
  <c r="AB31" i="13"/>
  <c r="AB13" i="13" s="1"/>
  <c r="AB7" i="13"/>
  <c r="Q53" i="13"/>
  <c r="I84" i="13"/>
  <c r="H84" i="13"/>
  <c r="O83" i="13"/>
  <c r="N83" i="13"/>
  <c r="K83" i="13"/>
  <c r="J83" i="13"/>
  <c r="I83" i="13"/>
  <c r="H83" i="13"/>
  <c r="O82" i="13"/>
  <c r="N82" i="13"/>
  <c r="K82" i="13"/>
  <c r="J82" i="13"/>
  <c r="I82" i="13"/>
  <c r="H82" i="13"/>
  <c r="O81" i="13"/>
  <c r="N81" i="13"/>
  <c r="K81" i="13"/>
  <c r="J81" i="13"/>
  <c r="H81" i="13"/>
  <c r="O80" i="13"/>
  <c r="N80" i="13"/>
  <c r="O79" i="13"/>
  <c r="U76" i="13"/>
  <c r="U74" i="13" s="1"/>
  <c r="S76" i="13"/>
  <c r="S74" i="13" s="1"/>
  <c r="E76" i="13"/>
  <c r="F76" i="13" s="1"/>
  <c r="C76" i="13"/>
  <c r="Q75" i="13"/>
  <c r="Q74" i="13" s="1"/>
  <c r="AG74" i="13"/>
  <c r="AE74" i="13"/>
  <c r="AC74" i="13"/>
  <c r="AA74" i="13"/>
  <c r="Z74" i="13"/>
  <c r="Y74" i="13"/>
  <c r="T74" i="13"/>
  <c r="R74" i="13"/>
  <c r="U73" i="13"/>
  <c r="S73" i="13"/>
  <c r="Q73" i="13"/>
  <c r="E73" i="13"/>
  <c r="F73" i="13" s="1"/>
  <c r="C73" i="13"/>
  <c r="U72" i="13"/>
  <c r="S72" i="13"/>
  <c r="Q72" i="13"/>
  <c r="L72" i="13"/>
  <c r="M72" i="13" s="1"/>
  <c r="F72" i="13"/>
  <c r="G72" i="13" s="1"/>
  <c r="U71" i="13"/>
  <c r="S71" i="13"/>
  <c r="Q71" i="13"/>
  <c r="L71" i="13"/>
  <c r="AG70" i="13"/>
  <c r="AE70" i="13"/>
  <c r="AC70" i="13"/>
  <c r="AA70" i="13"/>
  <c r="Z70" i="13"/>
  <c r="Y70" i="13"/>
  <c r="R70" i="13"/>
  <c r="U69" i="13"/>
  <c r="S69" i="13"/>
  <c r="Q69" i="13"/>
  <c r="L69" i="13"/>
  <c r="M69" i="13" s="1"/>
  <c r="F69" i="13"/>
  <c r="G69" i="13" s="1"/>
  <c r="U68" i="13"/>
  <c r="S68" i="13"/>
  <c r="Q68" i="13"/>
  <c r="L68" i="13"/>
  <c r="M68" i="13" s="1"/>
  <c r="F68" i="13"/>
  <c r="G68" i="13" s="1"/>
  <c r="U67" i="13"/>
  <c r="S67" i="13"/>
  <c r="Q67" i="13"/>
  <c r="U66" i="13"/>
  <c r="S66" i="13"/>
  <c r="Q66" i="13"/>
  <c r="L66" i="13"/>
  <c r="L81" i="13" s="1"/>
  <c r="I66" i="13"/>
  <c r="I81" i="13" s="1"/>
  <c r="F66" i="13"/>
  <c r="G66" i="13" s="1"/>
  <c r="U65" i="13"/>
  <c r="S65" i="13"/>
  <c r="Q65" i="13"/>
  <c r="L65" i="13"/>
  <c r="M65" i="13" s="1"/>
  <c r="F65" i="13"/>
  <c r="G65" i="13" s="1"/>
  <c r="U64" i="13"/>
  <c r="S64" i="13"/>
  <c r="Q64" i="13"/>
  <c r="L64" i="13"/>
  <c r="M64" i="13" s="1"/>
  <c r="F64" i="13"/>
  <c r="G64" i="13" s="1"/>
  <c r="U63" i="13"/>
  <c r="S63" i="13"/>
  <c r="Q63" i="13"/>
  <c r="L63" i="13"/>
  <c r="M63" i="13" s="1"/>
  <c r="F63" i="13"/>
  <c r="G63" i="13" s="1"/>
  <c r="Z62" i="13"/>
  <c r="L62" i="13" s="1"/>
  <c r="M62" i="13" s="1"/>
  <c r="U62" i="13"/>
  <c r="S62" i="13"/>
  <c r="F62" i="13"/>
  <c r="G62" i="13" s="1"/>
  <c r="U61" i="13"/>
  <c r="S61" i="13"/>
  <c r="Q61" i="13"/>
  <c r="L61" i="13"/>
  <c r="M61" i="13" s="1"/>
  <c r="F61" i="13"/>
  <c r="G61" i="13" s="1"/>
  <c r="U60" i="13"/>
  <c r="S60" i="13"/>
  <c r="Q60" i="13"/>
  <c r="L60" i="13"/>
  <c r="M60" i="13" s="1"/>
  <c r="F60" i="13"/>
  <c r="G60" i="13" s="1"/>
  <c r="U59" i="13"/>
  <c r="S59" i="13"/>
  <c r="Q59" i="13"/>
  <c r="U58" i="13"/>
  <c r="S58" i="13"/>
  <c r="Q58" i="13"/>
  <c r="U57" i="13"/>
  <c r="S57" i="13"/>
  <c r="Q57" i="13"/>
  <c r="L57" i="13"/>
  <c r="M57" i="13" s="1"/>
  <c r="F57" i="13"/>
  <c r="G57" i="13" s="1"/>
  <c r="U56" i="13"/>
  <c r="S56" i="13"/>
  <c r="Q56" i="13"/>
  <c r="L56" i="13"/>
  <c r="M56" i="13" s="1"/>
  <c r="F56" i="13"/>
  <c r="G56" i="13" s="1"/>
  <c r="U55" i="13"/>
  <c r="S55" i="13"/>
  <c r="Q55" i="13"/>
  <c r="L55" i="13"/>
  <c r="M55" i="13" s="1"/>
  <c r="F55" i="13"/>
  <c r="G55" i="13" s="1"/>
  <c r="U54" i="13"/>
  <c r="S54" i="13"/>
  <c r="Q54" i="13"/>
  <c r="L54" i="13"/>
  <c r="M54" i="13" s="1"/>
  <c r="F54" i="13"/>
  <c r="G54" i="13" s="1"/>
  <c r="U53" i="13"/>
  <c r="S53" i="13"/>
  <c r="L53" i="13"/>
  <c r="M53" i="13" s="1"/>
  <c r="F53" i="13"/>
  <c r="G53" i="13" s="1"/>
  <c r="AG52" i="13"/>
  <c r="AG51" i="13" s="1"/>
  <c r="AE52" i="13"/>
  <c r="AE51" i="13" s="1"/>
  <c r="AC52" i="13"/>
  <c r="AC51" i="13" s="1"/>
  <c r="AA52" i="13"/>
  <c r="AA51" i="13" s="1"/>
  <c r="Y52" i="13"/>
  <c r="Y51" i="13" s="1"/>
  <c r="R52" i="13"/>
  <c r="R51" i="13" s="1"/>
  <c r="N52" i="13"/>
  <c r="N51" i="13" s="1"/>
  <c r="K52" i="13"/>
  <c r="K51" i="13" s="1"/>
  <c r="K6" i="13" s="1"/>
  <c r="K5" i="13" s="1"/>
  <c r="J52" i="13"/>
  <c r="J51" i="13" s="1"/>
  <c r="I52" i="13"/>
  <c r="H52" i="13"/>
  <c r="H51" i="13" s="1"/>
  <c r="E52" i="13"/>
  <c r="F52" i="13" s="1"/>
  <c r="D52" i="13"/>
  <c r="D51" i="13" s="1"/>
  <c r="C52" i="13"/>
  <c r="C51" i="13" s="1"/>
  <c r="U50" i="13"/>
  <c r="S50" i="13"/>
  <c r="Q50" i="13"/>
  <c r="L50" i="13"/>
  <c r="M50" i="13" s="1"/>
  <c r="U49" i="13"/>
  <c r="S49" i="13"/>
  <c r="Q49" i="13"/>
  <c r="L49" i="13"/>
  <c r="M49" i="13" s="1"/>
  <c r="F49" i="13"/>
  <c r="G49" i="13" s="1"/>
  <c r="U47" i="13"/>
  <c r="S47" i="13"/>
  <c r="Q47" i="13"/>
  <c r="L47" i="13"/>
  <c r="M47" i="13" s="1"/>
  <c r="F47" i="13"/>
  <c r="G47" i="13" s="1"/>
  <c r="Z46" i="13"/>
  <c r="L46" i="13" s="1"/>
  <c r="M46" i="13" s="1"/>
  <c r="U46" i="13"/>
  <c r="S46" i="13"/>
  <c r="F46" i="13"/>
  <c r="G46" i="13" s="1"/>
  <c r="U45" i="13"/>
  <c r="S45" i="13"/>
  <c r="Q45" i="13"/>
  <c r="U44" i="13"/>
  <c r="U81" i="13" s="1"/>
  <c r="S44" i="13"/>
  <c r="S81" i="13" s="1"/>
  <c r="Q44" i="13"/>
  <c r="Q81" i="13" s="1"/>
  <c r="U43" i="13"/>
  <c r="S43" i="13"/>
  <c r="Q43" i="13"/>
  <c r="U42" i="13"/>
  <c r="S42" i="13"/>
  <c r="Q42" i="13"/>
  <c r="U41" i="13"/>
  <c r="S41" i="13"/>
  <c r="Q41" i="13"/>
  <c r="U40" i="13"/>
  <c r="S40" i="13"/>
  <c r="Q40" i="13"/>
  <c r="L40" i="13"/>
  <c r="M40" i="13" s="1"/>
  <c r="F40" i="13"/>
  <c r="G40" i="13" s="1"/>
  <c r="U39" i="13"/>
  <c r="S39" i="13"/>
  <c r="Q39" i="13"/>
  <c r="L39" i="13"/>
  <c r="M39" i="13" s="1"/>
  <c r="F39" i="13"/>
  <c r="G39" i="13" s="1"/>
  <c r="U38" i="13"/>
  <c r="S38" i="13"/>
  <c r="Q38" i="13"/>
  <c r="L38" i="13"/>
  <c r="M38" i="13" s="1"/>
  <c r="F38" i="13"/>
  <c r="G38" i="13" s="1"/>
  <c r="U37" i="13"/>
  <c r="S37" i="13"/>
  <c r="Q37" i="13"/>
  <c r="L37" i="13"/>
  <c r="M37" i="13" s="1"/>
  <c r="U36" i="13"/>
  <c r="S36" i="13"/>
  <c r="Q36" i="13"/>
  <c r="U34" i="13"/>
  <c r="S34" i="13"/>
  <c r="Q34" i="13"/>
  <c r="L34" i="13"/>
  <c r="M34" i="13" s="1"/>
  <c r="F34" i="13"/>
  <c r="G34" i="13" s="1"/>
  <c r="U33" i="13"/>
  <c r="S33" i="13"/>
  <c r="Q33" i="13"/>
  <c r="L33" i="13"/>
  <c r="M33" i="13" s="1"/>
  <c r="F33" i="13"/>
  <c r="G33" i="13" s="1"/>
  <c r="AG32" i="13"/>
  <c r="AC32" i="13"/>
  <c r="AC82" i="13" s="1"/>
  <c r="AC91" i="13" s="1"/>
  <c r="Z32" i="13"/>
  <c r="Q32" i="13"/>
  <c r="E32" i="13"/>
  <c r="F32" i="13" s="1"/>
  <c r="C32" i="13"/>
  <c r="AE31" i="13"/>
  <c r="AE13" i="13" s="1"/>
  <c r="AA31" i="13"/>
  <c r="AA13" i="13" s="1"/>
  <c r="Y31" i="13"/>
  <c r="R31" i="13"/>
  <c r="R13" i="13" s="1"/>
  <c r="N31" i="13"/>
  <c r="N13" i="13" s="1"/>
  <c r="K31" i="13"/>
  <c r="J31" i="13"/>
  <c r="J13" i="13" s="1"/>
  <c r="I31" i="13"/>
  <c r="I13" i="13" s="1"/>
  <c r="H31" i="13"/>
  <c r="H13" i="13" s="1"/>
  <c r="D31" i="13"/>
  <c r="D13" i="13" s="1"/>
  <c r="C31" i="13"/>
  <c r="C13" i="13" s="1"/>
  <c r="U30" i="13"/>
  <c r="S30" i="13"/>
  <c r="Q30" i="13"/>
  <c r="L30" i="13"/>
  <c r="M30" i="13" s="1"/>
  <c r="F30" i="13"/>
  <c r="G30" i="13" s="1"/>
  <c r="U29" i="13"/>
  <c r="S29" i="13"/>
  <c r="Q29" i="13"/>
  <c r="L29" i="13"/>
  <c r="M29" i="13" s="1"/>
  <c r="F29" i="13"/>
  <c r="G29" i="13" s="1"/>
  <c r="U28" i="13"/>
  <c r="S28" i="13"/>
  <c r="Q28" i="13"/>
  <c r="L28" i="13"/>
  <c r="M28" i="13" s="1"/>
  <c r="F28" i="13"/>
  <c r="G28" i="13" s="1"/>
  <c r="AG27" i="13"/>
  <c r="AG83" i="13" s="1"/>
  <c r="AC27" i="13"/>
  <c r="AC83" i="13" s="1"/>
  <c r="Z27" i="13"/>
  <c r="Y27" i="13"/>
  <c r="Y83" i="13" s="1"/>
  <c r="Y91" i="13" s="1"/>
  <c r="U27" i="13"/>
  <c r="U83" i="13" s="1"/>
  <c r="S27" i="13"/>
  <c r="F27" i="13"/>
  <c r="G27" i="13" s="1"/>
  <c r="U26" i="13"/>
  <c r="U80" i="13" s="1"/>
  <c r="S26" i="13"/>
  <c r="Q26" i="13"/>
  <c r="L26" i="13"/>
  <c r="M26" i="13" s="1"/>
  <c r="U25" i="13"/>
  <c r="S25" i="13"/>
  <c r="Q25" i="13"/>
  <c r="U24" i="13"/>
  <c r="S24" i="13"/>
  <c r="Q24" i="13"/>
  <c r="L24" i="13"/>
  <c r="M24" i="13" s="1"/>
  <c r="U22" i="13"/>
  <c r="S22" i="13"/>
  <c r="Q22" i="13"/>
  <c r="U21" i="13"/>
  <c r="S21" i="13"/>
  <c r="Q21" i="13"/>
  <c r="L21" i="13"/>
  <c r="M21" i="13" s="1"/>
  <c r="U19" i="13"/>
  <c r="S19" i="13"/>
  <c r="Q19" i="13"/>
  <c r="L19" i="13"/>
  <c r="M19" i="13" s="1"/>
  <c r="U18" i="13"/>
  <c r="S18" i="13"/>
  <c r="Q18" i="13"/>
  <c r="L18" i="13"/>
  <c r="M18" i="13" s="1"/>
  <c r="U17" i="13"/>
  <c r="S17" i="13"/>
  <c r="Q17" i="13"/>
  <c r="L17" i="13"/>
  <c r="M17" i="13" s="1"/>
  <c r="U16" i="13"/>
  <c r="S16" i="13"/>
  <c r="Q16" i="13"/>
  <c r="Q82" i="13" s="1"/>
  <c r="L16" i="13"/>
  <c r="M16" i="13" s="1"/>
  <c r="U15" i="13"/>
  <c r="S15" i="13"/>
  <c r="Q15" i="13"/>
  <c r="L15" i="13"/>
  <c r="M15" i="13" s="1"/>
  <c r="Z14" i="13"/>
  <c r="U14" i="13"/>
  <c r="S14" i="13"/>
  <c r="S84" i="13" s="1"/>
  <c r="F14" i="13"/>
  <c r="G14" i="13" s="1"/>
  <c r="Q12" i="13"/>
  <c r="U11" i="13"/>
  <c r="S11" i="13"/>
  <c r="Q11" i="13"/>
  <c r="L11" i="13"/>
  <c r="M11" i="13" s="1"/>
  <c r="E11" i="13"/>
  <c r="F11" i="13" s="1"/>
  <c r="C11" i="13"/>
  <c r="C7" i="13" s="1"/>
  <c r="Z10" i="13"/>
  <c r="Z79" i="13" s="1"/>
  <c r="U10" i="13"/>
  <c r="U79" i="13" s="1"/>
  <c r="S10" i="13"/>
  <c r="Q9" i="13"/>
  <c r="AC7" i="13"/>
  <c r="AA7" i="13"/>
  <c r="Y7" i="13"/>
  <c r="T7" i="13"/>
  <c r="R7" i="13"/>
  <c r="N7" i="13"/>
  <c r="N79" i="13" s="1"/>
  <c r="K7" i="13"/>
  <c r="K80" i="13" s="1"/>
  <c r="K86" i="13" s="1"/>
  <c r="J7" i="13"/>
  <c r="J80" i="13" s="1"/>
  <c r="I7" i="13"/>
  <c r="I80" i="13" s="1"/>
  <c r="H7" i="13"/>
  <c r="H80" i="13" s="1"/>
  <c r="D7" i="13"/>
  <c r="U32" i="13" l="1"/>
  <c r="AG82" i="13"/>
  <c r="AG91" i="13" s="1"/>
  <c r="L14" i="13"/>
  <c r="L84" i="13" s="1"/>
  <c r="Z84" i="13"/>
  <c r="U82" i="13"/>
  <c r="U91" i="13" s="1"/>
  <c r="Q80" i="13"/>
  <c r="S83" i="13"/>
  <c r="L32" i="13"/>
  <c r="Z82" i="13"/>
  <c r="Z91" i="13" s="1"/>
  <c r="I51" i="13"/>
  <c r="T79" i="13"/>
  <c r="V83" i="13"/>
  <c r="V81" i="13"/>
  <c r="V91" i="13" s="1"/>
  <c r="S80" i="13"/>
  <c r="T84" i="13"/>
  <c r="T82" i="13"/>
  <c r="T80" i="13"/>
  <c r="W84" i="13"/>
  <c r="AD91" i="13"/>
  <c r="T83" i="13"/>
  <c r="Z7" i="13"/>
  <c r="S79" i="13"/>
  <c r="S91" i="13" s="1"/>
  <c r="U84" i="13"/>
  <c r="S82" i="13"/>
  <c r="Z83" i="13"/>
  <c r="S32" i="13"/>
  <c r="AH51" i="13"/>
  <c r="AH6" i="13" s="1"/>
  <c r="AH5" i="13" s="1"/>
  <c r="AH92" i="13" s="1"/>
  <c r="W7" i="13"/>
  <c r="W79" i="13"/>
  <c r="W82" i="13"/>
  <c r="W80" i="13"/>
  <c r="W13" i="13"/>
  <c r="V52" i="13"/>
  <c r="V51" i="13" s="1"/>
  <c r="W70" i="13"/>
  <c r="V7" i="13"/>
  <c r="L70" i="13"/>
  <c r="V70" i="13"/>
  <c r="AJ51" i="13"/>
  <c r="W66" i="13"/>
  <c r="W81" i="13" s="1"/>
  <c r="T52" i="13"/>
  <c r="T51" i="13" s="1"/>
  <c r="W31" i="13"/>
  <c r="V31" i="13"/>
  <c r="V13" i="13" s="1"/>
  <c r="T31" i="13"/>
  <c r="T13" i="13" s="1"/>
  <c r="H86" i="13"/>
  <c r="I86" i="13"/>
  <c r="Q14" i="13"/>
  <c r="Q84" i="13" s="1"/>
  <c r="Q46" i="13"/>
  <c r="E51" i="13"/>
  <c r="N86" i="13"/>
  <c r="AA86" i="13"/>
  <c r="J86" i="13"/>
  <c r="Q27" i="13"/>
  <c r="D6" i="13"/>
  <c r="D77" i="13" s="1"/>
  <c r="Z31" i="13"/>
  <c r="Z13" i="13" s="1"/>
  <c r="G52" i="13"/>
  <c r="G51" i="13" s="1"/>
  <c r="Z52" i="13"/>
  <c r="Z51" i="13" s="1"/>
  <c r="W52" i="13"/>
  <c r="U31" i="13"/>
  <c r="U13" i="13" s="1"/>
  <c r="S52" i="13"/>
  <c r="S51" i="13" s="1"/>
  <c r="S70" i="13"/>
  <c r="S7" i="13"/>
  <c r="Q70" i="13"/>
  <c r="AI6" i="13"/>
  <c r="AI5" i="13" s="1"/>
  <c r="AI92" i="13" s="1"/>
  <c r="AF6" i="13"/>
  <c r="AF5" i="13" s="1"/>
  <c r="AF92" i="13" s="1"/>
  <c r="AF86" i="13"/>
  <c r="AH86" i="13"/>
  <c r="T70" i="13"/>
  <c r="AB6" i="13"/>
  <c r="AB5" i="13" s="1"/>
  <c r="AB92" i="13" s="1"/>
  <c r="AB86" i="13"/>
  <c r="AI86" i="13"/>
  <c r="AJ86" i="13"/>
  <c r="AD86" i="13"/>
  <c r="AD13" i="13"/>
  <c r="AD6" i="13" s="1"/>
  <c r="AD5" i="13" s="1"/>
  <c r="AD92" i="13" s="1"/>
  <c r="L7" i="13"/>
  <c r="L79" i="13" s="1"/>
  <c r="J6" i="13"/>
  <c r="J5" i="13" s="1"/>
  <c r="I6" i="13"/>
  <c r="I5" i="13" s="1"/>
  <c r="AA6" i="13"/>
  <c r="AA5" i="13" s="1"/>
  <c r="AA92" i="13" s="1"/>
  <c r="H6" i="13"/>
  <c r="H5" i="13" s="1"/>
  <c r="H89" i="13" s="1"/>
  <c r="G32" i="13"/>
  <c r="G31" i="13" s="1"/>
  <c r="G13" i="13" s="1"/>
  <c r="F31" i="13"/>
  <c r="F13" i="13" s="1"/>
  <c r="AE86" i="13"/>
  <c r="U70" i="13"/>
  <c r="Q10" i="13"/>
  <c r="Q79" i="13" s="1"/>
  <c r="E31" i="13"/>
  <c r="E13" i="13" s="1"/>
  <c r="AE6" i="13"/>
  <c r="AE5" i="13" s="1"/>
  <c r="AE92" i="13" s="1"/>
  <c r="U52" i="13"/>
  <c r="U51" i="13" s="1"/>
  <c r="Q62" i="13"/>
  <c r="Q52" i="13" s="1"/>
  <c r="Q51" i="13" s="1"/>
  <c r="G76" i="13"/>
  <c r="R6" i="13"/>
  <c r="R5" i="13" s="1"/>
  <c r="R92" i="13" s="1"/>
  <c r="S31" i="13"/>
  <c r="S13" i="13" s="1"/>
  <c r="M66" i="13"/>
  <c r="M81" i="13" s="1"/>
  <c r="K89" i="13"/>
  <c r="AG31" i="13"/>
  <c r="AG13" i="13" s="1"/>
  <c r="AG6" i="13" s="1"/>
  <c r="AG5" i="13" s="1"/>
  <c r="AG92" i="13" s="1"/>
  <c r="R86" i="13"/>
  <c r="U7" i="13"/>
  <c r="M52" i="13"/>
  <c r="D5" i="13"/>
  <c r="L80" i="13"/>
  <c r="N6" i="13"/>
  <c r="N5" i="13" s="1"/>
  <c r="M32" i="13"/>
  <c r="M82" i="13" s="1"/>
  <c r="L31" i="13"/>
  <c r="M31" i="13" s="1"/>
  <c r="L82" i="13"/>
  <c r="M80" i="13"/>
  <c r="C6" i="13"/>
  <c r="G11" i="13"/>
  <c r="G7" i="13" s="1"/>
  <c r="F7" i="13"/>
  <c r="M14" i="13"/>
  <c r="M84" i="13" s="1"/>
  <c r="AC86" i="13"/>
  <c r="AG86" i="13"/>
  <c r="Y86" i="13"/>
  <c r="E7" i="13"/>
  <c r="E6" i="13" s="1"/>
  <c r="L27" i="13"/>
  <c r="G73" i="13"/>
  <c r="AC31" i="13"/>
  <c r="AC13" i="13" s="1"/>
  <c r="AC6" i="13" s="1"/>
  <c r="AC5" i="13" s="1"/>
  <c r="AC92" i="13" s="1"/>
  <c r="L52" i="13"/>
  <c r="L51" i="13" s="1"/>
  <c r="L10" i="13"/>
  <c r="M10" i="13" s="1"/>
  <c r="M7" i="13" s="1"/>
  <c r="M79" i="13" s="1"/>
  <c r="Y13" i="13"/>
  <c r="Y6" i="13" s="1"/>
  <c r="Y5" i="13" s="1"/>
  <c r="Y92" i="13" s="1"/>
  <c r="F51" i="13"/>
  <c r="R78" i="11"/>
  <c r="T78" i="11"/>
  <c r="V78" i="11"/>
  <c r="Y78" i="11"/>
  <c r="AA78" i="11"/>
  <c r="Q11" i="11"/>
  <c r="X9" i="11"/>
  <c r="X7" i="11" s="1"/>
  <c r="AB65" i="11"/>
  <c r="R65" i="11"/>
  <c r="T65" i="11"/>
  <c r="W65" i="11"/>
  <c r="X65" i="11"/>
  <c r="Y65" i="11"/>
  <c r="Z65" i="11"/>
  <c r="AA65" i="11"/>
  <c r="R47" i="11"/>
  <c r="R46" i="11" s="1"/>
  <c r="T47" i="11"/>
  <c r="T46" i="11" s="1"/>
  <c r="W47" i="11"/>
  <c r="W46" i="11" s="1"/>
  <c r="Y47" i="11"/>
  <c r="Y46" i="11" s="1"/>
  <c r="Z47" i="11"/>
  <c r="Z46" i="11" s="1"/>
  <c r="AA47" i="11"/>
  <c r="AA46" i="11" s="1"/>
  <c r="AB47" i="11"/>
  <c r="AB46" i="11" s="1"/>
  <c r="R28" i="11"/>
  <c r="R12" i="11" s="1"/>
  <c r="T28" i="11"/>
  <c r="T12" i="11" s="1"/>
  <c r="V28" i="11"/>
  <c r="W28" i="11"/>
  <c r="Y28" i="11"/>
  <c r="Y12" i="11" s="1"/>
  <c r="AA28" i="11"/>
  <c r="AA12" i="11" s="1"/>
  <c r="R7" i="11"/>
  <c r="T7" i="11"/>
  <c r="W7" i="11"/>
  <c r="Y7" i="11"/>
  <c r="Z7" i="11"/>
  <c r="AA7" i="11"/>
  <c r="AB7" i="11"/>
  <c r="Q66" i="11"/>
  <c r="R69" i="11"/>
  <c r="T69" i="11"/>
  <c r="W69" i="11"/>
  <c r="X69" i="11"/>
  <c r="Y69" i="11"/>
  <c r="Z69" i="11"/>
  <c r="AA69" i="11"/>
  <c r="AB69" i="11"/>
  <c r="W91" i="13" l="1"/>
  <c r="Z92" i="13"/>
  <c r="Q83" i="13"/>
  <c r="T91" i="13"/>
  <c r="Q91" i="13"/>
  <c r="Q7" i="13"/>
  <c r="J89" i="13"/>
  <c r="I89" i="13"/>
  <c r="R89" i="13"/>
  <c r="Z6" i="13"/>
  <c r="Z5" i="13" s="1"/>
  <c r="AA87" i="13"/>
  <c r="Z86" i="13"/>
  <c r="D78" i="13"/>
  <c r="AJ6" i="13"/>
  <c r="AJ5" i="13" s="1"/>
  <c r="W51" i="13"/>
  <c r="W6" i="13" s="1"/>
  <c r="W5" i="13" s="1"/>
  <c r="W92" i="13" s="1"/>
  <c r="T6" i="13"/>
  <c r="T5" i="13" s="1"/>
  <c r="T92" i="13" s="1"/>
  <c r="V6" i="13"/>
  <c r="V5" i="13" s="1"/>
  <c r="V92" i="13" s="1"/>
  <c r="AF87" i="13"/>
  <c r="G6" i="13"/>
  <c r="G5" i="13" s="1"/>
  <c r="AA89" i="13"/>
  <c r="Q31" i="13"/>
  <c r="Q13" i="13" s="1"/>
  <c r="Q6" i="13" s="1"/>
  <c r="Q5" i="13" s="1"/>
  <c r="N89" i="13"/>
  <c r="AB87" i="13"/>
  <c r="S6" i="13"/>
  <c r="S5" i="13" s="1"/>
  <c r="S92" i="13" s="1"/>
  <c r="T86" i="13"/>
  <c r="AF89" i="13"/>
  <c r="AH87" i="13"/>
  <c r="AH89" i="13"/>
  <c r="AB89" i="13"/>
  <c r="AE89" i="13"/>
  <c r="AI87" i="13"/>
  <c r="AI89" i="13"/>
  <c r="AD89" i="13"/>
  <c r="AD87" i="13"/>
  <c r="AE87" i="13"/>
  <c r="U6" i="13"/>
  <c r="U5" i="13" s="1"/>
  <c r="U92" i="13" s="1"/>
  <c r="M51" i="13"/>
  <c r="F6" i="13"/>
  <c r="F5" i="13" s="1"/>
  <c r="U86" i="13"/>
  <c r="L13" i="13"/>
  <c r="L6" i="13" s="1"/>
  <c r="L5" i="13" s="1"/>
  <c r="S86" i="13"/>
  <c r="Y87" i="13"/>
  <c r="Y89" i="13"/>
  <c r="AG89" i="13"/>
  <c r="AG87" i="13"/>
  <c r="AC87" i="13"/>
  <c r="AC89" i="13"/>
  <c r="E5" i="13"/>
  <c r="E77" i="13"/>
  <c r="E78" i="13" s="1"/>
  <c r="L83" i="13"/>
  <c r="L86" i="13" s="1"/>
  <c r="M27" i="13"/>
  <c r="M83" i="13" s="1"/>
  <c r="C77" i="13"/>
  <c r="C78" i="13" s="1"/>
  <c r="C5" i="13"/>
  <c r="T6" i="11"/>
  <c r="T5" i="11" s="1"/>
  <c r="R6" i="11"/>
  <c r="R5" i="11" s="1"/>
  <c r="Y6" i="11"/>
  <c r="Y5" i="11" s="1"/>
  <c r="AA6" i="11"/>
  <c r="AA5" i="11" s="1"/>
  <c r="R74" i="11"/>
  <c r="T74" i="11"/>
  <c r="V74" i="11"/>
  <c r="W74" i="11"/>
  <c r="X74" i="11"/>
  <c r="Y74" i="11"/>
  <c r="Z74" i="11"/>
  <c r="AA74" i="11"/>
  <c r="AB74" i="11"/>
  <c r="R75" i="11"/>
  <c r="T75" i="11"/>
  <c r="V75" i="11"/>
  <c r="W75" i="11"/>
  <c r="X75" i="11"/>
  <c r="Y75" i="11"/>
  <c r="Z75" i="11"/>
  <c r="AA75" i="11"/>
  <c r="AB75" i="11"/>
  <c r="R76" i="11"/>
  <c r="T76" i="11"/>
  <c r="V76" i="11"/>
  <c r="W76" i="11"/>
  <c r="X76" i="11"/>
  <c r="Y76" i="11"/>
  <c r="Z76" i="11"/>
  <c r="AA76" i="11"/>
  <c r="AB76" i="11"/>
  <c r="R77" i="11"/>
  <c r="T77" i="11"/>
  <c r="V77" i="11"/>
  <c r="W77" i="11"/>
  <c r="Y77" i="11"/>
  <c r="Y81" i="11" s="1"/>
  <c r="AA77" i="11"/>
  <c r="R79" i="11"/>
  <c r="T79" i="11"/>
  <c r="V79" i="11"/>
  <c r="W79" i="11"/>
  <c r="Y79" i="11"/>
  <c r="Z79" i="11"/>
  <c r="AA79" i="11"/>
  <c r="AB79" i="11"/>
  <c r="Q8" i="11"/>
  <c r="X57" i="11"/>
  <c r="X47" i="11" s="1"/>
  <c r="X46" i="11" s="1"/>
  <c r="T81" i="11" l="1"/>
  <c r="AA81" i="11"/>
  <c r="S89" i="13"/>
  <c r="Q92" i="13"/>
  <c r="AJ87" i="13"/>
  <c r="AJ92" i="13"/>
  <c r="Z89" i="13"/>
  <c r="Z87" i="13"/>
  <c r="AJ89" i="13"/>
  <c r="T89" i="13"/>
  <c r="G77" i="13"/>
  <c r="Q86" i="13"/>
  <c r="Q89" i="13" s="1"/>
  <c r="U89" i="13"/>
  <c r="R81" i="11"/>
  <c r="F77" i="13"/>
  <c r="V81" i="11"/>
  <c r="L89" i="13"/>
  <c r="M13" i="13"/>
  <c r="M6" i="13" s="1"/>
  <c r="M5" i="13" s="1"/>
  <c r="M86" i="13"/>
  <c r="X13" i="11"/>
  <c r="Q10" i="11"/>
  <c r="Q70" i="11"/>
  <c r="Q69" i="11" s="1"/>
  <c r="Q67" i="11"/>
  <c r="Q68" i="11"/>
  <c r="C68" i="11"/>
  <c r="E68" i="11"/>
  <c r="F68" i="11" s="1"/>
  <c r="S68" i="11"/>
  <c r="U68" i="11"/>
  <c r="Q9" i="11"/>
  <c r="Q7" i="11" s="1"/>
  <c r="X42" i="11"/>
  <c r="X24" i="11"/>
  <c r="Q41" i="11"/>
  <c r="S41" i="11"/>
  <c r="U41" i="11"/>
  <c r="L7" i="12"/>
  <c r="AD28" i="12"/>
  <c r="AD57" i="12"/>
  <c r="AD62" i="12"/>
  <c r="Q7" i="12"/>
  <c r="Q32" i="11"/>
  <c r="S32" i="11"/>
  <c r="U32" i="11"/>
  <c r="Q61" i="12"/>
  <c r="Q51" i="12"/>
  <c r="Q47" i="12"/>
  <c r="Q43" i="12" s="1"/>
  <c r="Q42" i="12" s="1"/>
  <c r="Q29" i="12"/>
  <c r="Q26" i="12" s="1"/>
  <c r="AC73" i="12"/>
  <c r="AB73" i="12"/>
  <c r="AA73" i="12"/>
  <c r="Z73" i="12"/>
  <c r="X73" i="12"/>
  <c r="U73" i="12"/>
  <c r="S73" i="12"/>
  <c r="P73" i="12"/>
  <c r="O73" i="12"/>
  <c r="N73" i="12"/>
  <c r="K73" i="12"/>
  <c r="J73" i="12"/>
  <c r="I73" i="12"/>
  <c r="H73" i="12"/>
  <c r="AB72" i="12"/>
  <c r="Z72" i="12"/>
  <c r="U72" i="12"/>
  <c r="S72" i="12"/>
  <c r="P72" i="12"/>
  <c r="O72" i="12"/>
  <c r="N72" i="12"/>
  <c r="K72" i="12"/>
  <c r="J72" i="12"/>
  <c r="I72" i="12"/>
  <c r="H72" i="12"/>
  <c r="AB71" i="12"/>
  <c r="Z71" i="12"/>
  <c r="X71" i="12"/>
  <c r="U71" i="12"/>
  <c r="S71" i="12"/>
  <c r="P71" i="12"/>
  <c r="O71" i="12"/>
  <c r="N71" i="12"/>
  <c r="K71" i="12"/>
  <c r="J71" i="12"/>
  <c r="I71" i="12"/>
  <c r="H71" i="12"/>
  <c r="AC70" i="12"/>
  <c r="AB70" i="12"/>
  <c r="AA70" i="12"/>
  <c r="Z70" i="12"/>
  <c r="Y70" i="12"/>
  <c r="X70" i="12"/>
  <c r="U70" i="12"/>
  <c r="S70" i="12"/>
  <c r="P70" i="12"/>
  <c r="O70" i="12"/>
  <c r="N70" i="12"/>
  <c r="K70" i="12"/>
  <c r="J70" i="12"/>
  <c r="H70" i="12"/>
  <c r="AC69" i="12"/>
  <c r="AB69" i="12"/>
  <c r="AA69" i="12"/>
  <c r="Z69" i="12"/>
  <c r="Y69" i="12"/>
  <c r="X69" i="12"/>
  <c r="U69" i="12"/>
  <c r="S69" i="12"/>
  <c r="P69" i="12"/>
  <c r="O69" i="12"/>
  <c r="N69" i="12"/>
  <c r="S68" i="12"/>
  <c r="P68" i="12"/>
  <c r="O68" i="12"/>
  <c r="V65" i="12"/>
  <c r="T65" i="12"/>
  <c r="E65" i="12"/>
  <c r="F65" i="12" s="1"/>
  <c r="G65" i="12" s="1"/>
  <c r="C65" i="12"/>
  <c r="V64" i="12"/>
  <c r="T64" i="12"/>
  <c r="E64" i="12"/>
  <c r="F64" i="12" s="1"/>
  <c r="C64" i="12"/>
  <c r="V63" i="12"/>
  <c r="T63" i="12"/>
  <c r="R63" i="12"/>
  <c r="L63" i="12"/>
  <c r="M63" i="12" s="1"/>
  <c r="F63" i="12"/>
  <c r="G63" i="12" s="1"/>
  <c r="V62" i="12"/>
  <c r="T62" i="12"/>
  <c r="AB61" i="12"/>
  <c r="V61" i="12" s="1"/>
  <c r="Z61" i="12"/>
  <c r="T61" i="12" s="1"/>
  <c r="X61" i="12"/>
  <c r="R61" i="12" s="1"/>
  <c r="AD61" i="12" s="1"/>
  <c r="V60" i="12"/>
  <c r="T60" i="12"/>
  <c r="R60" i="12"/>
  <c r="AD60" i="12" s="1"/>
  <c r="M60" i="12"/>
  <c r="L60" i="12"/>
  <c r="F60" i="12"/>
  <c r="G60" i="12" s="1"/>
  <c r="V59" i="12"/>
  <c r="T59" i="12"/>
  <c r="R59" i="12"/>
  <c r="AD59" i="12" s="1"/>
  <c r="M59" i="12"/>
  <c r="F59" i="12"/>
  <c r="G59" i="12" s="1"/>
  <c r="V58" i="12"/>
  <c r="T58" i="12"/>
  <c r="R58" i="12"/>
  <c r="AD58" i="12" s="1"/>
  <c r="V57" i="12"/>
  <c r="T57" i="12"/>
  <c r="R57" i="12"/>
  <c r="M57" i="12"/>
  <c r="M70" i="12" s="1"/>
  <c r="I57" i="12"/>
  <c r="I70" i="12" s="1"/>
  <c r="F57" i="12"/>
  <c r="G57" i="12" s="1"/>
  <c r="V56" i="12"/>
  <c r="T56" i="12"/>
  <c r="R56" i="12"/>
  <c r="AD56" i="12" s="1"/>
  <c r="M56" i="12"/>
  <c r="F56" i="12"/>
  <c r="G56" i="12" s="1"/>
  <c r="V55" i="12"/>
  <c r="T55" i="12"/>
  <c r="R55" i="12"/>
  <c r="AD55" i="12" s="1"/>
  <c r="M55" i="12"/>
  <c r="F55" i="12"/>
  <c r="G55" i="12" s="1"/>
  <c r="V54" i="12"/>
  <c r="T54" i="12"/>
  <c r="R54" i="12"/>
  <c r="AD54" i="12" s="1"/>
  <c r="M54" i="12"/>
  <c r="F54" i="12"/>
  <c r="G54" i="12" s="1"/>
  <c r="V53" i="12"/>
  <c r="T53" i="12"/>
  <c r="R53" i="12"/>
  <c r="AD53" i="12" s="1"/>
  <c r="M53" i="12"/>
  <c r="F53" i="12"/>
  <c r="G53" i="12" s="1"/>
  <c r="V52" i="12"/>
  <c r="T52" i="12"/>
  <c r="R52" i="12"/>
  <c r="AD52" i="12" s="1"/>
  <c r="M52" i="12"/>
  <c r="F52" i="12"/>
  <c r="G52" i="12" s="1"/>
  <c r="V51" i="12"/>
  <c r="T51" i="12"/>
  <c r="R51" i="12"/>
  <c r="AD51" i="12" s="1"/>
  <c r="L51" i="12"/>
  <c r="M51" i="12" s="1"/>
  <c r="F51" i="12"/>
  <c r="G51" i="12" s="1"/>
  <c r="V50" i="12"/>
  <c r="T50" i="12"/>
  <c r="R50" i="12"/>
  <c r="AD50" i="12" s="1"/>
  <c r="V49" i="12"/>
  <c r="T49" i="12"/>
  <c r="R49" i="12"/>
  <c r="AD49" i="12" s="1"/>
  <c r="V48" i="12"/>
  <c r="T48" i="12"/>
  <c r="R48" i="12"/>
  <c r="AD48" i="12" s="1"/>
  <c r="M48" i="12"/>
  <c r="F48" i="12"/>
  <c r="G48" i="12" s="1"/>
  <c r="V47" i="12"/>
  <c r="T47" i="12"/>
  <c r="R47" i="12"/>
  <c r="L47" i="12"/>
  <c r="M47" i="12" s="1"/>
  <c r="F47" i="12"/>
  <c r="G47" i="12" s="1"/>
  <c r="V46" i="12"/>
  <c r="T46" i="12"/>
  <c r="R46" i="12"/>
  <c r="AD46" i="12" s="1"/>
  <c r="M46" i="12"/>
  <c r="F46" i="12"/>
  <c r="G46" i="12" s="1"/>
  <c r="V45" i="12"/>
  <c r="T45" i="12"/>
  <c r="R45" i="12"/>
  <c r="AD45" i="12" s="1"/>
  <c r="M45" i="12"/>
  <c r="F45" i="12"/>
  <c r="G45" i="12" s="1"/>
  <c r="V44" i="12"/>
  <c r="T44" i="12"/>
  <c r="R44" i="12"/>
  <c r="AD44" i="12" s="1"/>
  <c r="M44" i="12"/>
  <c r="F44" i="12"/>
  <c r="G44" i="12" s="1"/>
  <c r="AC43" i="12"/>
  <c r="AC42" i="12" s="1"/>
  <c r="AB43" i="12"/>
  <c r="AB42" i="12" s="1"/>
  <c r="AA43" i="12"/>
  <c r="AA42" i="12" s="1"/>
  <c r="Z43" i="12"/>
  <c r="Z42" i="12" s="1"/>
  <c r="Y43" i="12"/>
  <c r="Y42" i="12" s="1"/>
  <c r="X43" i="12"/>
  <c r="X42" i="12" s="1"/>
  <c r="U43" i="12"/>
  <c r="N43" i="12"/>
  <c r="N42" i="12" s="1"/>
  <c r="K43" i="12"/>
  <c r="K42" i="12" s="1"/>
  <c r="K6" i="12" s="1"/>
  <c r="K5" i="12" s="1"/>
  <c r="J43" i="12"/>
  <c r="J42" i="12" s="1"/>
  <c r="I43" i="12"/>
  <c r="H43" i="12"/>
  <c r="H42" i="12" s="1"/>
  <c r="E43" i="12"/>
  <c r="E42" i="12" s="1"/>
  <c r="D43" i="12"/>
  <c r="C43" i="12"/>
  <c r="C42" i="12" s="1"/>
  <c r="U42" i="12"/>
  <c r="D42" i="12"/>
  <c r="V41" i="12"/>
  <c r="T41" i="12"/>
  <c r="R41" i="12"/>
  <c r="AD41" i="12" s="1"/>
  <c r="L41" i="12"/>
  <c r="M41" i="12" s="1"/>
  <c r="V40" i="12"/>
  <c r="T40" i="12"/>
  <c r="R40" i="12"/>
  <c r="AD40" i="12" s="1"/>
  <c r="L40" i="12"/>
  <c r="M40" i="12" s="1"/>
  <c r="F40" i="12"/>
  <c r="G40" i="12" s="1"/>
  <c r="V39" i="12"/>
  <c r="T39" i="12"/>
  <c r="R39" i="12"/>
  <c r="AD39" i="12" s="1"/>
  <c r="M39" i="12"/>
  <c r="F39" i="12"/>
  <c r="G39" i="12" s="1"/>
  <c r="V38" i="12"/>
  <c r="T38" i="12"/>
  <c r="R38" i="12"/>
  <c r="AD38" i="12" s="1"/>
  <c r="M38" i="12"/>
  <c r="F38" i="12"/>
  <c r="G38" i="12" s="1"/>
  <c r="V37" i="12"/>
  <c r="T37" i="12"/>
  <c r="R37" i="12"/>
  <c r="R70" i="12" s="1"/>
  <c r="V36" i="12"/>
  <c r="T36" i="12"/>
  <c r="R36" i="12"/>
  <c r="AD36" i="12" s="1"/>
  <c r="V35" i="12"/>
  <c r="T35" i="12"/>
  <c r="R35" i="12"/>
  <c r="AD35" i="12" s="1"/>
  <c r="V34" i="12"/>
  <c r="T34" i="12"/>
  <c r="R34" i="12"/>
  <c r="AD34" i="12" s="1"/>
  <c r="V33" i="12"/>
  <c r="T33" i="12"/>
  <c r="R33" i="12"/>
  <c r="AD33" i="12" s="1"/>
  <c r="M33" i="12"/>
  <c r="F33" i="12"/>
  <c r="G33" i="12" s="1"/>
  <c r="V32" i="12"/>
  <c r="T32" i="12"/>
  <c r="R32" i="12"/>
  <c r="AD32" i="12" s="1"/>
  <c r="M32" i="12"/>
  <c r="F32" i="12"/>
  <c r="G32" i="12" s="1"/>
  <c r="V31" i="12"/>
  <c r="T31" i="12"/>
  <c r="R31" i="12"/>
  <c r="AD31" i="12" s="1"/>
  <c r="M31" i="12"/>
  <c r="F31" i="12"/>
  <c r="G31" i="12" s="1"/>
  <c r="V30" i="12"/>
  <c r="T30" i="12"/>
  <c r="R30" i="12"/>
  <c r="AD30" i="12" s="1"/>
  <c r="M30" i="12"/>
  <c r="V29" i="12"/>
  <c r="T29" i="12"/>
  <c r="R29" i="12"/>
  <c r="AD29" i="12" s="1"/>
  <c r="M29" i="12"/>
  <c r="L29" i="12"/>
  <c r="F29" i="12"/>
  <c r="G29" i="12" s="1"/>
  <c r="V28" i="12"/>
  <c r="T28" i="12"/>
  <c r="R28" i="12"/>
  <c r="M28" i="12"/>
  <c r="F28" i="12"/>
  <c r="G28" i="12" s="1"/>
  <c r="AC27" i="12"/>
  <c r="AC71" i="12" s="1"/>
  <c r="AA27" i="12"/>
  <c r="AA71" i="12" s="1"/>
  <c r="Y27" i="12"/>
  <c r="Y71" i="12" s="1"/>
  <c r="T27" i="12"/>
  <c r="R27" i="12"/>
  <c r="AD27" i="12" s="1"/>
  <c r="M27" i="12"/>
  <c r="E27" i="12"/>
  <c r="F27" i="12" s="1"/>
  <c r="C27" i="12"/>
  <c r="C26" i="12" s="1"/>
  <c r="C10" i="12" s="1"/>
  <c r="AB26" i="12"/>
  <c r="AB10" i="12" s="1"/>
  <c r="Z26" i="12"/>
  <c r="Z10" i="12" s="1"/>
  <c r="Y26" i="12"/>
  <c r="X26" i="12"/>
  <c r="U26" i="12"/>
  <c r="U10" i="12" s="1"/>
  <c r="N26" i="12"/>
  <c r="N10" i="12" s="1"/>
  <c r="K26" i="12"/>
  <c r="J26" i="12"/>
  <c r="J10" i="12" s="1"/>
  <c r="I26" i="12"/>
  <c r="I10" i="12" s="1"/>
  <c r="H26" i="12"/>
  <c r="H10" i="12" s="1"/>
  <c r="D26" i="12"/>
  <c r="V25" i="12"/>
  <c r="T25" i="12"/>
  <c r="R25" i="12"/>
  <c r="AD25" i="12" s="1"/>
  <c r="L25" i="12"/>
  <c r="M25" i="12" s="1"/>
  <c r="F25" i="12"/>
  <c r="G25" i="12" s="1"/>
  <c r="V24" i="12"/>
  <c r="T24" i="12"/>
  <c r="R24" i="12"/>
  <c r="AD24" i="12" s="1"/>
  <c r="M24" i="12"/>
  <c r="F24" i="12"/>
  <c r="G24" i="12" s="1"/>
  <c r="V23" i="12"/>
  <c r="T23" i="12"/>
  <c r="R23" i="12"/>
  <c r="AD23" i="12" s="1"/>
  <c r="M23" i="12"/>
  <c r="L23" i="12"/>
  <c r="F23" i="12"/>
  <c r="G23" i="12" s="1"/>
  <c r="AC22" i="12"/>
  <c r="AC72" i="12" s="1"/>
  <c r="AA22" i="12"/>
  <c r="AA72" i="12" s="1"/>
  <c r="Y22" i="12"/>
  <c r="Y72" i="12" s="1"/>
  <c r="X22" i="12"/>
  <c r="X72" i="12" s="1"/>
  <c r="T22" i="12"/>
  <c r="T72" i="12" s="1"/>
  <c r="G22" i="12"/>
  <c r="F22" i="12"/>
  <c r="V21" i="12"/>
  <c r="T21" i="12"/>
  <c r="R21" i="12"/>
  <c r="AD21" i="12" s="1"/>
  <c r="M21" i="12"/>
  <c r="V20" i="12"/>
  <c r="T20" i="12"/>
  <c r="R20" i="12"/>
  <c r="AD20" i="12" s="1"/>
  <c r="V19" i="12"/>
  <c r="T19" i="12"/>
  <c r="R19" i="12"/>
  <c r="AD19" i="12" s="1"/>
  <c r="M19" i="12"/>
  <c r="V18" i="12"/>
  <c r="T18" i="12"/>
  <c r="R18" i="12"/>
  <c r="AD18" i="12" s="1"/>
  <c r="V17" i="12"/>
  <c r="T17" i="12"/>
  <c r="R17" i="12"/>
  <c r="AD17" i="12" s="1"/>
  <c r="L17" i="12"/>
  <c r="M17" i="12" s="1"/>
  <c r="V16" i="12"/>
  <c r="T16" i="12"/>
  <c r="R16" i="12"/>
  <c r="AD16" i="12" s="1"/>
  <c r="M16" i="12"/>
  <c r="V15" i="12"/>
  <c r="T15" i="12"/>
  <c r="R15" i="12"/>
  <c r="AD15" i="12" s="1"/>
  <c r="M15" i="12"/>
  <c r="V14" i="12"/>
  <c r="T14" i="12"/>
  <c r="R14" i="12"/>
  <c r="AD14" i="12" s="1"/>
  <c r="L14" i="12"/>
  <c r="M14" i="12" s="1"/>
  <c r="V13" i="12"/>
  <c r="T13" i="12"/>
  <c r="R13" i="12"/>
  <c r="AD13" i="12" s="1"/>
  <c r="M13" i="12"/>
  <c r="V12" i="12"/>
  <c r="T12" i="12"/>
  <c r="R12" i="12"/>
  <c r="AD12" i="12" s="1"/>
  <c r="M12" i="12"/>
  <c r="Y11" i="12"/>
  <c r="Y10" i="12" s="1"/>
  <c r="V11" i="12"/>
  <c r="T11" i="12"/>
  <c r="R11" i="12"/>
  <c r="R73" i="12" s="1"/>
  <c r="F11" i="12"/>
  <c r="D10" i="12"/>
  <c r="V9" i="12"/>
  <c r="T9" i="12"/>
  <c r="R9" i="12"/>
  <c r="AD9" i="12" s="1"/>
  <c r="M9" i="12"/>
  <c r="E9" i="12"/>
  <c r="E7" i="12" s="1"/>
  <c r="C9" i="12"/>
  <c r="V8" i="12"/>
  <c r="T8" i="12"/>
  <c r="R8" i="12"/>
  <c r="AD8" i="12" s="1"/>
  <c r="M8" i="12"/>
  <c r="AC7" i="12"/>
  <c r="AC68" i="12" s="1"/>
  <c r="AB7" i="12"/>
  <c r="AB68" i="12" s="1"/>
  <c r="AA7" i="12"/>
  <c r="AA68" i="12" s="1"/>
  <c r="Z7" i="12"/>
  <c r="Z68" i="12" s="1"/>
  <c r="Y7" i="12"/>
  <c r="Y68" i="12" s="1"/>
  <c r="X7" i="12"/>
  <c r="X68" i="12" s="1"/>
  <c r="U7" i="12"/>
  <c r="U68" i="12" s="1"/>
  <c r="U75" i="12" s="1"/>
  <c r="N7" i="12"/>
  <c r="N68" i="12" s="1"/>
  <c r="K7" i="12"/>
  <c r="K69" i="12" s="1"/>
  <c r="J7" i="12"/>
  <c r="J69" i="12" s="1"/>
  <c r="I7" i="12"/>
  <c r="I69" i="12" s="1"/>
  <c r="H7" i="12"/>
  <c r="H69" i="12" s="1"/>
  <c r="D7" i="12"/>
  <c r="C7" i="12"/>
  <c r="S6" i="12"/>
  <c r="S5" i="12" s="1"/>
  <c r="AB24" i="11"/>
  <c r="U26" i="11"/>
  <c r="W24" i="11"/>
  <c r="Z24" i="11"/>
  <c r="Q20" i="11"/>
  <c r="S20" i="11"/>
  <c r="U20" i="11"/>
  <c r="AB29" i="11"/>
  <c r="Z29" i="11"/>
  <c r="X29" i="11"/>
  <c r="U29" i="11"/>
  <c r="S62" i="11"/>
  <c r="U62" i="11"/>
  <c r="Q62" i="11"/>
  <c r="U9" i="11"/>
  <c r="U10" i="11"/>
  <c r="U13" i="11"/>
  <c r="U14" i="11"/>
  <c r="U15" i="11"/>
  <c r="U16" i="11"/>
  <c r="U17" i="11"/>
  <c r="U18" i="11"/>
  <c r="U19" i="11"/>
  <c r="U21" i="11"/>
  <c r="U22" i="11"/>
  <c r="U23" i="11"/>
  <c r="U25" i="11"/>
  <c r="U27" i="11"/>
  <c r="U30" i="11"/>
  <c r="U31" i="11"/>
  <c r="U33" i="11"/>
  <c r="U34" i="11"/>
  <c r="U35" i="11"/>
  <c r="U36" i="11"/>
  <c r="U37" i="11"/>
  <c r="U38" i="11"/>
  <c r="U39" i="11"/>
  <c r="U40" i="11"/>
  <c r="U42" i="11"/>
  <c r="U43" i="11"/>
  <c r="U44" i="11"/>
  <c r="U45" i="11"/>
  <c r="U48" i="11"/>
  <c r="U49" i="11"/>
  <c r="U50" i="11"/>
  <c r="U51" i="11"/>
  <c r="U52" i="11"/>
  <c r="U53" i="11"/>
  <c r="U54" i="11"/>
  <c r="U55" i="11"/>
  <c r="U56" i="11"/>
  <c r="U57" i="11"/>
  <c r="U58" i="11"/>
  <c r="U59" i="11"/>
  <c r="U60" i="11"/>
  <c r="U61" i="11"/>
  <c r="U63" i="11"/>
  <c r="U64" i="11"/>
  <c r="U66" i="11"/>
  <c r="U65" i="11" s="1"/>
  <c r="U67" i="11"/>
  <c r="U71" i="11"/>
  <c r="U69" i="11" s="1"/>
  <c r="S9" i="11"/>
  <c r="S10" i="11"/>
  <c r="S13" i="11"/>
  <c r="S14" i="11"/>
  <c r="S15" i="11"/>
  <c r="S16" i="11"/>
  <c r="S17" i="11"/>
  <c r="S18" i="11"/>
  <c r="S19" i="11"/>
  <c r="S21" i="11"/>
  <c r="S22" i="11"/>
  <c r="S23" i="11"/>
  <c r="S25" i="11"/>
  <c r="S26" i="11"/>
  <c r="S27" i="11"/>
  <c r="S30" i="11"/>
  <c r="S31" i="11"/>
  <c r="S33" i="11"/>
  <c r="S34" i="11"/>
  <c r="S35" i="11"/>
  <c r="S36" i="11"/>
  <c r="S37" i="11"/>
  <c r="S38" i="11"/>
  <c r="S39" i="11"/>
  <c r="S40" i="11"/>
  <c r="S42" i="11"/>
  <c r="S43" i="11"/>
  <c r="S44" i="11"/>
  <c r="S45" i="11"/>
  <c r="S48" i="11"/>
  <c r="S49" i="11"/>
  <c r="S50" i="11"/>
  <c r="S51" i="11"/>
  <c r="S52" i="11"/>
  <c r="S53" i="11"/>
  <c r="S54" i="11"/>
  <c r="S55" i="11"/>
  <c r="S56" i="11"/>
  <c r="S57" i="11"/>
  <c r="S58" i="11"/>
  <c r="S59" i="11"/>
  <c r="S60" i="11"/>
  <c r="S61" i="11"/>
  <c r="S63" i="11"/>
  <c r="S64" i="11"/>
  <c r="S66" i="11"/>
  <c r="S65" i="11" s="1"/>
  <c r="S67" i="11"/>
  <c r="S71" i="11"/>
  <c r="S69" i="11" s="1"/>
  <c r="Q13" i="11"/>
  <c r="Q14" i="11"/>
  <c r="Q15" i="11"/>
  <c r="Q16" i="11"/>
  <c r="Q17" i="11"/>
  <c r="Q18" i="11"/>
  <c r="Q19" i="11"/>
  <c r="Q21" i="11"/>
  <c r="Q22" i="11"/>
  <c r="Q23" i="11"/>
  <c r="Q25" i="11"/>
  <c r="Q26" i="11"/>
  <c r="Q27" i="11"/>
  <c r="Q30" i="11"/>
  <c r="Q31" i="11"/>
  <c r="Q33" i="11"/>
  <c r="Q34" i="11"/>
  <c r="Q35" i="11"/>
  <c r="Q36" i="11"/>
  <c r="Q37" i="11"/>
  <c r="Q38" i="11"/>
  <c r="Q39" i="11"/>
  <c r="Q40" i="11"/>
  <c r="Q43" i="11"/>
  <c r="Q44" i="11"/>
  <c r="Q45" i="11"/>
  <c r="Q48" i="11"/>
  <c r="Q49" i="11"/>
  <c r="Q50" i="11"/>
  <c r="Q51" i="11"/>
  <c r="Q52" i="11"/>
  <c r="Q53" i="11"/>
  <c r="Q54" i="11"/>
  <c r="Q55" i="11"/>
  <c r="Q56" i="11"/>
  <c r="Q57" i="11"/>
  <c r="Q58" i="11"/>
  <c r="Q59" i="11"/>
  <c r="Q60" i="11"/>
  <c r="Q61" i="11"/>
  <c r="Q63" i="11"/>
  <c r="Q64" i="11"/>
  <c r="Q65" i="11"/>
  <c r="P79" i="11"/>
  <c r="O79" i="11"/>
  <c r="N79" i="11"/>
  <c r="K79" i="11"/>
  <c r="J79" i="11"/>
  <c r="I79" i="11"/>
  <c r="H79" i="11"/>
  <c r="P78" i="11"/>
  <c r="O78" i="11"/>
  <c r="N78" i="11"/>
  <c r="K78" i="11"/>
  <c r="J78" i="11"/>
  <c r="I78" i="11"/>
  <c r="H78" i="11"/>
  <c r="P77" i="11"/>
  <c r="O77" i="11"/>
  <c r="N77" i="11"/>
  <c r="K77" i="11"/>
  <c r="J77" i="11"/>
  <c r="I77" i="11"/>
  <c r="H77" i="11"/>
  <c r="P76" i="11"/>
  <c r="O76" i="11"/>
  <c r="N76" i="11"/>
  <c r="K76" i="11"/>
  <c r="J76" i="11"/>
  <c r="H76" i="11"/>
  <c r="P75" i="11"/>
  <c r="O75" i="11"/>
  <c r="N75" i="11"/>
  <c r="P74" i="11"/>
  <c r="O74" i="11"/>
  <c r="E71" i="11"/>
  <c r="F71" i="11" s="1"/>
  <c r="G71" i="11" s="1"/>
  <c r="C71" i="11"/>
  <c r="L67" i="11"/>
  <c r="M67" i="11" s="1"/>
  <c r="F67" i="11"/>
  <c r="G67" i="11" s="1"/>
  <c r="L66" i="11"/>
  <c r="L65" i="11"/>
  <c r="L64" i="11"/>
  <c r="M64" i="11" s="1"/>
  <c r="F64" i="11"/>
  <c r="G64" i="11" s="1"/>
  <c r="L63" i="11"/>
  <c r="M63" i="11" s="1"/>
  <c r="F63" i="11"/>
  <c r="G63" i="11" s="1"/>
  <c r="L61" i="11"/>
  <c r="L76" i="11" s="1"/>
  <c r="I61" i="11"/>
  <c r="I76" i="11" s="1"/>
  <c r="F61" i="11"/>
  <c r="G61" i="11" s="1"/>
  <c r="L60" i="11"/>
  <c r="M60" i="11" s="1"/>
  <c r="F60" i="11"/>
  <c r="G60" i="11" s="1"/>
  <c r="L59" i="11"/>
  <c r="M59" i="11" s="1"/>
  <c r="F59" i="11"/>
  <c r="G59" i="11" s="1"/>
  <c r="L58" i="11"/>
  <c r="M58" i="11" s="1"/>
  <c r="F58" i="11"/>
  <c r="G58" i="11" s="1"/>
  <c r="L57" i="11"/>
  <c r="M57" i="11" s="1"/>
  <c r="F57" i="11"/>
  <c r="G57" i="11" s="1"/>
  <c r="L56" i="11"/>
  <c r="M56" i="11" s="1"/>
  <c r="F56" i="11"/>
  <c r="G56" i="11" s="1"/>
  <c r="L55" i="11"/>
  <c r="M55" i="11" s="1"/>
  <c r="F55" i="11"/>
  <c r="G55" i="11" s="1"/>
  <c r="L52" i="11"/>
  <c r="M52" i="11" s="1"/>
  <c r="F52" i="11"/>
  <c r="G52" i="11" s="1"/>
  <c r="L51" i="11"/>
  <c r="M51" i="11" s="1"/>
  <c r="F51" i="11"/>
  <c r="G51" i="11" s="1"/>
  <c r="L50" i="11"/>
  <c r="M50" i="11" s="1"/>
  <c r="F50" i="11"/>
  <c r="G50" i="11" s="1"/>
  <c r="L49" i="11"/>
  <c r="F49" i="11"/>
  <c r="G49" i="11" s="1"/>
  <c r="L48" i="11"/>
  <c r="M48" i="11" s="1"/>
  <c r="F48" i="11"/>
  <c r="G48" i="11" s="1"/>
  <c r="N47" i="11"/>
  <c r="N46" i="11" s="1"/>
  <c r="K47" i="11"/>
  <c r="K46" i="11" s="1"/>
  <c r="K6" i="11" s="1"/>
  <c r="K5" i="11" s="1"/>
  <c r="J47" i="11"/>
  <c r="J46" i="11" s="1"/>
  <c r="I47" i="11"/>
  <c r="I46" i="11" s="1"/>
  <c r="H47" i="11"/>
  <c r="H46" i="11" s="1"/>
  <c r="E47" i="11"/>
  <c r="F47" i="11" s="1"/>
  <c r="D47" i="11"/>
  <c r="D46" i="11" s="1"/>
  <c r="C47" i="11"/>
  <c r="C46" i="11" s="1"/>
  <c r="L45" i="11"/>
  <c r="M45" i="11" s="1"/>
  <c r="L44" i="11"/>
  <c r="M44" i="11" s="1"/>
  <c r="F44" i="11"/>
  <c r="G44" i="11" s="1"/>
  <c r="L43" i="11"/>
  <c r="M43" i="11" s="1"/>
  <c r="F43" i="11"/>
  <c r="G43" i="11" s="1"/>
  <c r="L42" i="11"/>
  <c r="M42" i="11" s="1"/>
  <c r="F42" i="11"/>
  <c r="G42" i="11" s="1"/>
  <c r="L36" i="11"/>
  <c r="M36" i="11" s="1"/>
  <c r="F36" i="11"/>
  <c r="G36" i="11" s="1"/>
  <c r="L35" i="11"/>
  <c r="M35" i="11" s="1"/>
  <c r="F35" i="11"/>
  <c r="G35" i="11" s="1"/>
  <c r="L34" i="11"/>
  <c r="M34" i="11" s="1"/>
  <c r="F34" i="11"/>
  <c r="G34" i="11" s="1"/>
  <c r="L33" i="11"/>
  <c r="M33" i="11" s="1"/>
  <c r="L31" i="11"/>
  <c r="M31" i="11" s="1"/>
  <c r="F31" i="11"/>
  <c r="G31" i="11" s="1"/>
  <c r="L30" i="11"/>
  <c r="M30" i="11" s="1"/>
  <c r="F30" i="11"/>
  <c r="G30" i="11" s="1"/>
  <c r="E29" i="11"/>
  <c r="F29" i="11" s="1"/>
  <c r="C29" i="11"/>
  <c r="C28" i="11" s="1"/>
  <c r="C12" i="11" s="1"/>
  <c r="N28" i="11"/>
  <c r="N12" i="11" s="1"/>
  <c r="K28" i="11"/>
  <c r="J28" i="11"/>
  <c r="J12" i="11" s="1"/>
  <c r="I28" i="11"/>
  <c r="I12" i="11" s="1"/>
  <c r="H28" i="11"/>
  <c r="H12" i="11" s="1"/>
  <c r="D28" i="11"/>
  <c r="D12" i="11" s="1"/>
  <c r="L27" i="11"/>
  <c r="M27" i="11" s="1"/>
  <c r="F27" i="11"/>
  <c r="G27" i="11" s="1"/>
  <c r="L26" i="11"/>
  <c r="M26" i="11" s="1"/>
  <c r="F26" i="11"/>
  <c r="G26" i="11" s="1"/>
  <c r="L25" i="11"/>
  <c r="M25" i="11" s="1"/>
  <c r="F25" i="11"/>
  <c r="G25" i="11" s="1"/>
  <c r="F24" i="11"/>
  <c r="G24" i="11" s="1"/>
  <c r="L23" i="11"/>
  <c r="M23" i="11" s="1"/>
  <c r="L21" i="11"/>
  <c r="M21" i="11" s="1"/>
  <c r="L19" i="11"/>
  <c r="M19" i="11" s="1"/>
  <c r="L18" i="11"/>
  <c r="M18" i="11" s="1"/>
  <c r="L17" i="11"/>
  <c r="L16" i="11"/>
  <c r="M16" i="11" s="1"/>
  <c r="L15" i="11"/>
  <c r="M15" i="11" s="1"/>
  <c r="L14" i="11"/>
  <c r="L13" i="11"/>
  <c r="F13" i="11"/>
  <c r="G13" i="11" s="1"/>
  <c r="L10" i="11"/>
  <c r="M10" i="11" s="1"/>
  <c r="E10" i="11"/>
  <c r="F10" i="11" s="1"/>
  <c r="C10" i="11"/>
  <c r="C7" i="11" s="1"/>
  <c r="L9" i="11"/>
  <c r="M9" i="11" s="1"/>
  <c r="N7" i="11"/>
  <c r="N74" i="11" s="1"/>
  <c r="K7" i="11"/>
  <c r="K75" i="11" s="1"/>
  <c r="J7" i="11"/>
  <c r="J75" i="11" s="1"/>
  <c r="I7" i="11"/>
  <c r="I75" i="11" s="1"/>
  <c r="H7" i="11"/>
  <c r="H75" i="11" s="1"/>
  <c r="E7" i="11"/>
  <c r="D7" i="11"/>
  <c r="R11" i="10"/>
  <c r="R71" i="10" s="1"/>
  <c r="R25" i="10"/>
  <c r="V66" i="10"/>
  <c r="T67" i="10"/>
  <c r="U67" i="10"/>
  <c r="V67" i="10"/>
  <c r="W67" i="10"/>
  <c r="X67" i="10"/>
  <c r="Y67" i="10"/>
  <c r="Z67" i="10"/>
  <c r="AA67" i="10"/>
  <c r="AB67" i="10"/>
  <c r="T68" i="10"/>
  <c r="U68" i="10"/>
  <c r="V68" i="10"/>
  <c r="W68" i="10"/>
  <c r="X68" i="10"/>
  <c r="Y68" i="10"/>
  <c r="Z68" i="10"/>
  <c r="AA68" i="10"/>
  <c r="AB68" i="10"/>
  <c r="T69" i="10"/>
  <c r="U69" i="10"/>
  <c r="V69" i="10"/>
  <c r="W69" i="10"/>
  <c r="X69" i="10"/>
  <c r="Y69" i="10"/>
  <c r="Z69" i="10"/>
  <c r="AA69" i="10"/>
  <c r="AB69" i="10"/>
  <c r="T70" i="10"/>
  <c r="U70" i="10"/>
  <c r="V70" i="10"/>
  <c r="Y70" i="10"/>
  <c r="Z70" i="10"/>
  <c r="AA70" i="10"/>
  <c r="AB70" i="10"/>
  <c r="T71" i="10"/>
  <c r="U71" i="10"/>
  <c r="V71" i="10"/>
  <c r="W71" i="10"/>
  <c r="Y71" i="10"/>
  <c r="Z71" i="10"/>
  <c r="AA71" i="10"/>
  <c r="AB71" i="10"/>
  <c r="R70" i="10"/>
  <c r="R69" i="10"/>
  <c r="R68" i="10"/>
  <c r="R67" i="10"/>
  <c r="R42" i="10"/>
  <c r="R41" i="10" s="1"/>
  <c r="M7" i="12" l="1"/>
  <c r="M68" i="12" s="1"/>
  <c r="AD47" i="12"/>
  <c r="AD37" i="12"/>
  <c r="R10" i="10"/>
  <c r="G68" i="11"/>
  <c r="C6" i="12"/>
  <c r="T70" i="12"/>
  <c r="T42" i="12"/>
  <c r="S47" i="11"/>
  <c r="S46" i="11" s="1"/>
  <c r="U47" i="11"/>
  <c r="U46" i="11" s="1"/>
  <c r="U74" i="11"/>
  <c r="U7" i="11"/>
  <c r="W78" i="11"/>
  <c r="W81" i="11" s="1"/>
  <c r="W12" i="11"/>
  <c r="W6" i="11" s="1"/>
  <c r="W5" i="11" s="1"/>
  <c r="S76" i="11"/>
  <c r="S7" i="11"/>
  <c r="X28" i="11"/>
  <c r="X12" i="11" s="1"/>
  <c r="X6" i="11" s="1"/>
  <c r="X5" i="11" s="1"/>
  <c r="Q29" i="11"/>
  <c r="X77" i="11"/>
  <c r="AB75" i="12"/>
  <c r="F9" i="12"/>
  <c r="F7" i="12" s="1"/>
  <c r="R26" i="12"/>
  <c r="AD26" i="12" s="1"/>
  <c r="F26" i="12"/>
  <c r="U28" i="11"/>
  <c r="S29" i="11"/>
  <c r="S77" i="11" s="1"/>
  <c r="Z28" i="11"/>
  <c r="Z12" i="11" s="1"/>
  <c r="Z6" i="11" s="1"/>
  <c r="Z5" i="11" s="1"/>
  <c r="Z77" i="11"/>
  <c r="AB78" i="11"/>
  <c r="K75" i="12"/>
  <c r="AD11" i="12"/>
  <c r="X79" i="11"/>
  <c r="Q47" i="11"/>
  <c r="Q46" i="11" s="1"/>
  <c r="AB28" i="11"/>
  <c r="AB12" i="11" s="1"/>
  <c r="AB6" i="11" s="1"/>
  <c r="AB5" i="11" s="1"/>
  <c r="AB77" i="11"/>
  <c r="AB81" i="11" s="1"/>
  <c r="S24" i="11"/>
  <c r="S78" i="11" s="1"/>
  <c r="Z78" i="11"/>
  <c r="H75" i="12"/>
  <c r="R69" i="12"/>
  <c r="L61" i="12"/>
  <c r="X78" i="11"/>
  <c r="M89" i="13"/>
  <c r="Q75" i="11"/>
  <c r="U77" i="11"/>
  <c r="S79" i="11"/>
  <c r="S75" i="11"/>
  <c r="U79" i="11"/>
  <c r="Q79" i="11"/>
  <c r="S74" i="11"/>
  <c r="U76" i="11"/>
  <c r="U75" i="11"/>
  <c r="M7" i="11"/>
  <c r="M74" i="11" s="1"/>
  <c r="L47" i="11"/>
  <c r="I81" i="11"/>
  <c r="Q74" i="11"/>
  <c r="H81" i="11"/>
  <c r="N81" i="11"/>
  <c r="K81" i="11"/>
  <c r="K84" i="11" s="1"/>
  <c r="C6" i="11"/>
  <c r="C5" i="11" s="1"/>
  <c r="Q77" i="11"/>
  <c r="Q76" i="11"/>
  <c r="N6" i="11"/>
  <c r="N5" i="11" s="1"/>
  <c r="Q42" i="11"/>
  <c r="R71" i="12"/>
  <c r="H6" i="12"/>
  <c r="H5" i="12" s="1"/>
  <c r="Z75" i="12"/>
  <c r="L68" i="12"/>
  <c r="X10" i="12"/>
  <c r="R10" i="12" s="1"/>
  <c r="E26" i="12"/>
  <c r="E10" i="12" s="1"/>
  <c r="E6" i="12" s="1"/>
  <c r="E66" i="12" s="1"/>
  <c r="E67" i="12" s="1"/>
  <c r="I75" i="12"/>
  <c r="AC75" i="12"/>
  <c r="T73" i="12"/>
  <c r="T69" i="12"/>
  <c r="L72" i="12"/>
  <c r="V27" i="12"/>
  <c r="I42" i="12"/>
  <c r="I6" i="12" s="1"/>
  <c r="I5" i="12" s="1"/>
  <c r="I78" i="12" s="1"/>
  <c r="G64" i="12"/>
  <c r="S75" i="12"/>
  <c r="S78" i="12" s="1"/>
  <c r="J75" i="12"/>
  <c r="T7" i="12"/>
  <c r="T68" i="12" s="1"/>
  <c r="D6" i="12"/>
  <c r="D5" i="12" s="1"/>
  <c r="U6" i="12"/>
  <c r="U5" i="12" s="1"/>
  <c r="U78" i="12" s="1"/>
  <c r="V73" i="12"/>
  <c r="V69" i="12"/>
  <c r="R22" i="12"/>
  <c r="AC26" i="12"/>
  <c r="V26" i="12" s="1"/>
  <c r="V70" i="12"/>
  <c r="Q10" i="12"/>
  <c r="Q6" i="12" s="1"/>
  <c r="Q5" i="12" s="1"/>
  <c r="L46" i="11"/>
  <c r="J81" i="11"/>
  <c r="L71" i="12"/>
  <c r="V71" i="12"/>
  <c r="N75" i="12"/>
  <c r="T71" i="12"/>
  <c r="J6" i="12"/>
  <c r="J5" i="12" s="1"/>
  <c r="J78" i="12" s="1"/>
  <c r="F10" i="12"/>
  <c r="N6" i="12"/>
  <c r="N5" i="12" s="1"/>
  <c r="N78" i="12" s="1"/>
  <c r="F43" i="12"/>
  <c r="F42" i="12" s="1"/>
  <c r="M43" i="12"/>
  <c r="M42" i="12" s="1"/>
  <c r="R43" i="12"/>
  <c r="AD43" i="12" s="1"/>
  <c r="T43" i="12"/>
  <c r="X75" i="12"/>
  <c r="M69" i="12"/>
  <c r="L73" i="12"/>
  <c r="M11" i="12"/>
  <c r="K78" i="12"/>
  <c r="AA75" i="12"/>
  <c r="M71" i="12"/>
  <c r="C66" i="12"/>
  <c r="C67" i="12" s="1"/>
  <c r="C5" i="12"/>
  <c r="R42" i="12"/>
  <c r="AD42" i="12" s="1"/>
  <c r="V42" i="12"/>
  <c r="AB6" i="12"/>
  <c r="AB5" i="12" s="1"/>
  <c r="AB76" i="12" s="1"/>
  <c r="L69" i="12"/>
  <c r="L70" i="12"/>
  <c r="Z6" i="12"/>
  <c r="Z5" i="12" s="1"/>
  <c r="R7" i="12"/>
  <c r="AC10" i="12"/>
  <c r="AC6" i="12" s="1"/>
  <c r="AC5" i="12" s="1"/>
  <c r="AC78" i="12" s="1"/>
  <c r="L26" i="12"/>
  <c r="M26" i="12" s="1"/>
  <c r="G27" i="12"/>
  <c r="G26" i="12" s="1"/>
  <c r="V43" i="12"/>
  <c r="G9" i="12"/>
  <c r="G7" i="12" s="1"/>
  <c r="G11" i="12"/>
  <c r="M22" i="12"/>
  <c r="M72" i="12" s="1"/>
  <c r="AA26" i="12"/>
  <c r="T26" i="12" s="1"/>
  <c r="L43" i="12"/>
  <c r="L42" i="12" s="1"/>
  <c r="V22" i="12"/>
  <c r="V72" i="12" s="1"/>
  <c r="Y73" i="12"/>
  <c r="Y75" i="12" s="1"/>
  <c r="Y6" i="12"/>
  <c r="Y5" i="12" s="1"/>
  <c r="V7" i="12"/>
  <c r="V68" i="12" s="1"/>
  <c r="U24" i="11"/>
  <c r="U78" i="11" s="1"/>
  <c r="L79" i="11"/>
  <c r="Q24" i="11"/>
  <c r="Q78" i="11" s="1"/>
  <c r="J6" i="11"/>
  <c r="J5" i="11" s="1"/>
  <c r="H6" i="11"/>
  <c r="H5" i="11" s="1"/>
  <c r="I6" i="11"/>
  <c r="I5" i="11" s="1"/>
  <c r="D6" i="11"/>
  <c r="D72" i="11" s="1"/>
  <c r="D73" i="11" s="1"/>
  <c r="L29" i="11"/>
  <c r="M29" i="11" s="1"/>
  <c r="L7" i="11"/>
  <c r="L74" i="11" s="1"/>
  <c r="M13" i="11"/>
  <c r="M49" i="11"/>
  <c r="M47" i="11" s="1"/>
  <c r="M61" i="11"/>
  <c r="M76" i="11" s="1"/>
  <c r="M75" i="11"/>
  <c r="C72" i="11"/>
  <c r="C73" i="11" s="1"/>
  <c r="G47" i="11"/>
  <c r="G46" i="11" s="1"/>
  <c r="F46" i="11"/>
  <c r="G29" i="11"/>
  <c r="G28" i="11" s="1"/>
  <c r="G12" i="11" s="1"/>
  <c r="F28" i="11"/>
  <c r="F12" i="11" s="1"/>
  <c r="G10" i="11"/>
  <c r="G7" i="11" s="1"/>
  <c r="F7" i="11"/>
  <c r="L75" i="11"/>
  <c r="M14" i="11"/>
  <c r="M17" i="11"/>
  <c r="E28" i="11"/>
  <c r="E12" i="11" s="1"/>
  <c r="L24" i="11"/>
  <c r="E46" i="11"/>
  <c r="P71" i="10"/>
  <c r="O71" i="10"/>
  <c r="N71" i="10"/>
  <c r="K71" i="10"/>
  <c r="J71" i="10"/>
  <c r="I71" i="10"/>
  <c r="H71" i="10"/>
  <c r="P70" i="10"/>
  <c r="O70" i="10"/>
  <c r="N70" i="10"/>
  <c r="K70" i="10"/>
  <c r="J70" i="10"/>
  <c r="I70" i="10"/>
  <c r="H70" i="10"/>
  <c r="P69" i="10"/>
  <c r="O69" i="10"/>
  <c r="N69" i="10"/>
  <c r="K69" i="10"/>
  <c r="J69" i="10"/>
  <c r="I69" i="10"/>
  <c r="H69" i="10"/>
  <c r="P68" i="10"/>
  <c r="O68" i="10"/>
  <c r="N68" i="10"/>
  <c r="K68" i="10"/>
  <c r="J68" i="10"/>
  <c r="H68" i="10"/>
  <c r="P67" i="10"/>
  <c r="O67" i="10"/>
  <c r="N67" i="10"/>
  <c r="P66" i="10"/>
  <c r="O66" i="10"/>
  <c r="S63" i="10"/>
  <c r="E63" i="10"/>
  <c r="F63" i="10" s="1"/>
  <c r="C63" i="10"/>
  <c r="S62" i="10"/>
  <c r="E62" i="10"/>
  <c r="F62" i="10" s="1"/>
  <c r="C62" i="10"/>
  <c r="S61" i="10"/>
  <c r="Q61" i="10"/>
  <c r="L61" i="10"/>
  <c r="M61" i="10" s="1"/>
  <c r="F61" i="10"/>
  <c r="G61" i="10" s="1"/>
  <c r="S60" i="10"/>
  <c r="Q60" i="10"/>
  <c r="L60" i="10"/>
  <c r="AB59" i="10"/>
  <c r="AA59" i="10"/>
  <c r="Z59" i="10"/>
  <c r="Y59" i="10"/>
  <c r="X59" i="10"/>
  <c r="W59" i="10"/>
  <c r="S58" i="10"/>
  <c r="Q58" i="10"/>
  <c r="L58" i="10"/>
  <c r="M58" i="10" s="1"/>
  <c r="F58" i="10"/>
  <c r="G58" i="10" s="1"/>
  <c r="S57" i="10"/>
  <c r="Q57" i="10"/>
  <c r="L57" i="10"/>
  <c r="M57" i="10" s="1"/>
  <c r="F57" i="10"/>
  <c r="G57" i="10" s="1"/>
  <c r="S56" i="10"/>
  <c r="S68" i="10" s="1"/>
  <c r="Q56" i="10"/>
  <c r="Q68" i="10" s="1"/>
  <c r="L56" i="10"/>
  <c r="L68" i="10" s="1"/>
  <c r="I56" i="10"/>
  <c r="F56" i="10"/>
  <c r="G56" i="10" s="1"/>
  <c r="S55" i="10"/>
  <c r="Q55" i="10"/>
  <c r="L55" i="10"/>
  <c r="M55" i="10" s="1"/>
  <c r="F55" i="10"/>
  <c r="G55" i="10" s="1"/>
  <c r="S54" i="10"/>
  <c r="Q54" i="10"/>
  <c r="L54" i="10"/>
  <c r="M54" i="10" s="1"/>
  <c r="F54" i="10"/>
  <c r="G54" i="10" s="1"/>
  <c r="X53" i="10"/>
  <c r="X71" i="10" s="1"/>
  <c r="S53" i="10"/>
  <c r="Q53" i="10"/>
  <c r="M53" i="10"/>
  <c r="L53" i="10"/>
  <c r="F53" i="10"/>
  <c r="G53" i="10" s="1"/>
  <c r="S52" i="10"/>
  <c r="Q52" i="10"/>
  <c r="L52" i="10"/>
  <c r="M52" i="10" s="1"/>
  <c r="F52" i="10"/>
  <c r="G52" i="10" s="1"/>
  <c r="S51" i="10"/>
  <c r="Q51" i="10"/>
  <c r="L51" i="10"/>
  <c r="M51" i="10" s="1"/>
  <c r="F51" i="10"/>
  <c r="G51" i="10" s="1"/>
  <c r="S50" i="10"/>
  <c r="Q50" i="10"/>
  <c r="L50" i="10"/>
  <c r="M50" i="10" s="1"/>
  <c r="F50" i="10"/>
  <c r="G50" i="10" s="1"/>
  <c r="S47" i="10"/>
  <c r="Q47" i="10"/>
  <c r="L47" i="10"/>
  <c r="M47" i="10" s="1"/>
  <c r="F47" i="10"/>
  <c r="G47" i="10" s="1"/>
  <c r="S46" i="10"/>
  <c r="Q46" i="10"/>
  <c r="L46" i="10"/>
  <c r="M46" i="10" s="1"/>
  <c r="F46" i="10"/>
  <c r="G46" i="10" s="1"/>
  <c r="S45" i="10"/>
  <c r="Q45" i="10"/>
  <c r="L45" i="10"/>
  <c r="M45" i="10" s="1"/>
  <c r="F45" i="10"/>
  <c r="G45" i="10" s="1"/>
  <c r="S44" i="10"/>
  <c r="Q44" i="10"/>
  <c r="L44" i="10"/>
  <c r="M44" i="10" s="1"/>
  <c r="G44" i="10"/>
  <c r="F44" i="10"/>
  <c r="S43" i="10"/>
  <c r="Q43" i="10"/>
  <c r="Q42" i="10" s="1"/>
  <c r="Q41" i="10" s="1"/>
  <c r="M43" i="10"/>
  <c r="L43" i="10"/>
  <c r="F43" i="10"/>
  <c r="G43" i="10" s="1"/>
  <c r="AB42" i="10"/>
  <c r="AB41" i="10" s="1"/>
  <c r="AA42" i="10"/>
  <c r="AA41" i="10" s="1"/>
  <c r="Z42" i="10"/>
  <c r="Z41" i="10" s="1"/>
  <c r="Y42" i="10"/>
  <c r="Y41" i="10" s="1"/>
  <c r="X42" i="10"/>
  <c r="X41" i="10" s="1"/>
  <c r="W42" i="10"/>
  <c r="W41" i="10" s="1"/>
  <c r="U42" i="10"/>
  <c r="U41" i="10" s="1"/>
  <c r="T42" i="10"/>
  <c r="T41" i="10" s="1"/>
  <c r="N42" i="10"/>
  <c r="K42" i="10"/>
  <c r="K41" i="10" s="1"/>
  <c r="K6" i="10" s="1"/>
  <c r="K5" i="10" s="1"/>
  <c r="J42" i="10"/>
  <c r="I42" i="10"/>
  <c r="H42" i="10"/>
  <c r="H41" i="10" s="1"/>
  <c r="E42" i="10"/>
  <c r="F42" i="10" s="1"/>
  <c r="D42" i="10"/>
  <c r="C42" i="10"/>
  <c r="C41" i="10" s="1"/>
  <c r="N41" i="10"/>
  <c r="J41" i="10"/>
  <c r="D41" i="10"/>
  <c r="S40" i="10"/>
  <c r="Q40" i="10"/>
  <c r="L40" i="10"/>
  <c r="M40" i="10" s="1"/>
  <c r="S39" i="10"/>
  <c r="Q39" i="10"/>
  <c r="L39" i="10"/>
  <c r="M39" i="10" s="1"/>
  <c r="F39" i="10"/>
  <c r="G39" i="10" s="1"/>
  <c r="S38" i="10"/>
  <c r="Q38" i="10"/>
  <c r="L38" i="10"/>
  <c r="M38" i="10" s="1"/>
  <c r="F38" i="10"/>
  <c r="G38" i="10" s="1"/>
  <c r="S37" i="10"/>
  <c r="Q37" i="10"/>
  <c r="L37" i="10"/>
  <c r="M37" i="10" s="1"/>
  <c r="F37" i="10"/>
  <c r="G37" i="10" s="1"/>
  <c r="S32" i="10"/>
  <c r="Q32" i="10"/>
  <c r="L32" i="10"/>
  <c r="M32" i="10" s="1"/>
  <c r="F32" i="10"/>
  <c r="G32" i="10" s="1"/>
  <c r="S31" i="10"/>
  <c r="Q31" i="10"/>
  <c r="L31" i="10"/>
  <c r="M31" i="10" s="1"/>
  <c r="F31" i="10"/>
  <c r="G31" i="10" s="1"/>
  <c r="S30" i="10"/>
  <c r="Q30" i="10"/>
  <c r="L30" i="10"/>
  <c r="M30" i="10" s="1"/>
  <c r="F30" i="10"/>
  <c r="G30" i="10" s="1"/>
  <c r="S29" i="10"/>
  <c r="Q29" i="10"/>
  <c r="L29" i="10"/>
  <c r="M29" i="10" s="1"/>
  <c r="S28" i="10"/>
  <c r="Q28" i="10"/>
  <c r="L28" i="10"/>
  <c r="M28" i="10" s="1"/>
  <c r="F28" i="10"/>
  <c r="G28" i="10" s="1"/>
  <c r="S27" i="10"/>
  <c r="Q27" i="10"/>
  <c r="L27" i="10"/>
  <c r="M27" i="10" s="1"/>
  <c r="F27" i="10"/>
  <c r="G27" i="10" s="1"/>
  <c r="S26" i="10"/>
  <c r="Q26" i="10"/>
  <c r="L26" i="10"/>
  <c r="M26" i="10" s="1"/>
  <c r="E26" i="10"/>
  <c r="F26" i="10" s="1"/>
  <c r="C26" i="10"/>
  <c r="C25" i="10" s="1"/>
  <c r="C10" i="10" s="1"/>
  <c r="AB25" i="10"/>
  <c r="AB10" i="10" s="1"/>
  <c r="AA25" i="10"/>
  <c r="AA10" i="10" s="1"/>
  <c r="Z25" i="10"/>
  <c r="Z10" i="10" s="1"/>
  <c r="Y25" i="10"/>
  <c r="X25" i="10"/>
  <c r="W25" i="10"/>
  <c r="W10" i="10" s="1"/>
  <c r="U25" i="10"/>
  <c r="U10" i="10" s="1"/>
  <c r="T25" i="10"/>
  <c r="T10" i="10" s="1"/>
  <c r="N25" i="10"/>
  <c r="K25" i="10"/>
  <c r="J25" i="10"/>
  <c r="J10" i="10" s="1"/>
  <c r="I25" i="10"/>
  <c r="I10" i="10" s="1"/>
  <c r="H25" i="10"/>
  <c r="D25" i="10"/>
  <c r="D10" i="10" s="1"/>
  <c r="S24" i="10"/>
  <c r="Q24" i="10"/>
  <c r="L24" i="10"/>
  <c r="M24" i="10" s="1"/>
  <c r="F24" i="10"/>
  <c r="G24" i="10" s="1"/>
  <c r="S23" i="10"/>
  <c r="Q23" i="10"/>
  <c r="L23" i="10"/>
  <c r="M23" i="10" s="1"/>
  <c r="F23" i="10"/>
  <c r="G23" i="10" s="1"/>
  <c r="S22" i="10"/>
  <c r="Q22" i="10"/>
  <c r="L22" i="10"/>
  <c r="M22" i="10" s="1"/>
  <c r="F22" i="10"/>
  <c r="G22" i="10" s="1"/>
  <c r="X21" i="10"/>
  <c r="X70" i="10" s="1"/>
  <c r="W21" i="10"/>
  <c r="S21" i="10"/>
  <c r="S70" i="10" s="1"/>
  <c r="Q21" i="10"/>
  <c r="F21" i="10"/>
  <c r="G21" i="10" s="1"/>
  <c r="S20" i="10"/>
  <c r="Q20" i="10"/>
  <c r="Q67" i="10" s="1"/>
  <c r="L20" i="10"/>
  <c r="M20" i="10" s="1"/>
  <c r="S18" i="10"/>
  <c r="Q18" i="10"/>
  <c r="L18" i="10"/>
  <c r="M18" i="10" s="1"/>
  <c r="S17" i="10"/>
  <c r="Q17" i="10"/>
  <c r="L17" i="10"/>
  <c r="M17" i="10" s="1"/>
  <c r="S16" i="10"/>
  <c r="Q16" i="10"/>
  <c r="L16" i="10"/>
  <c r="M16" i="10" s="1"/>
  <c r="S15" i="10"/>
  <c r="Q15" i="10"/>
  <c r="L15" i="10"/>
  <c r="M15" i="10" s="1"/>
  <c r="S14" i="10"/>
  <c r="Q14" i="10"/>
  <c r="L14" i="10"/>
  <c r="M14" i="10" s="1"/>
  <c r="S13" i="10"/>
  <c r="Q13" i="10"/>
  <c r="L13" i="10"/>
  <c r="M13" i="10" s="1"/>
  <c r="S12" i="10"/>
  <c r="Q12" i="10"/>
  <c r="L12" i="10"/>
  <c r="M12" i="10" s="1"/>
  <c r="S11" i="10"/>
  <c r="Q11" i="10"/>
  <c r="L11" i="10"/>
  <c r="M11" i="10" s="1"/>
  <c r="F11" i="10"/>
  <c r="G11" i="10" s="1"/>
  <c r="Y10" i="10"/>
  <c r="N10" i="10"/>
  <c r="H10" i="10"/>
  <c r="S9" i="10"/>
  <c r="S7" i="10" s="1"/>
  <c r="S66" i="10" s="1"/>
  <c r="Q9" i="10"/>
  <c r="Q7" i="10" s="1"/>
  <c r="Q66" i="10" s="1"/>
  <c r="L9" i="10"/>
  <c r="M9" i="10" s="1"/>
  <c r="E9" i="10"/>
  <c r="F9" i="10" s="1"/>
  <c r="F7" i="10" s="1"/>
  <c r="C9" i="10"/>
  <c r="C7" i="10" s="1"/>
  <c r="L8" i="10"/>
  <c r="M8" i="10" s="1"/>
  <c r="AB7" i="10"/>
  <c r="AB66" i="10" s="1"/>
  <c r="AA7" i="10"/>
  <c r="Z7" i="10"/>
  <c r="Y7" i="10"/>
  <c r="Y66" i="10" s="1"/>
  <c r="X7" i="10"/>
  <c r="X66" i="10" s="1"/>
  <c r="W7" i="10"/>
  <c r="W66" i="10" s="1"/>
  <c r="U7" i="10"/>
  <c r="U66" i="10" s="1"/>
  <c r="T7" i="10"/>
  <c r="T66" i="10" s="1"/>
  <c r="R7" i="10"/>
  <c r="R66" i="10" s="1"/>
  <c r="N7" i="10"/>
  <c r="N66" i="10" s="1"/>
  <c r="K7" i="10"/>
  <c r="K67" i="10" s="1"/>
  <c r="K73" i="10" s="1"/>
  <c r="K76" i="10" s="1"/>
  <c r="J7" i="10"/>
  <c r="J67" i="10" s="1"/>
  <c r="I7" i="10"/>
  <c r="I67" i="10" s="1"/>
  <c r="H7" i="10"/>
  <c r="D7" i="10"/>
  <c r="O61" i="9"/>
  <c r="P61" i="9"/>
  <c r="V61" i="9"/>
  <c r="N62" i="9"/>
  <c r="O62" i="9"/>
  <c r="P62" i="9"/>
  <c r="R62" i="9"/>
  <c r="T62" i="9"/>
  <c r="U62" i="9"/>
  <c r="V62" i="9"/>
  <c r="W62" i="9"/>
  <c r="X62" i="9"/>
  <c r="Y62" i="9"/>
  <c r="Z62" i="9"/>
  <c r="AA62" i="9"/>
  <c r="AB62" i="9"/>
  <c r="N63" i="9"/>
  <c r="O63" i="9"/>
  <c r="P63" i="9"/>
  <c r="R63" i="9"/>
  <c r="T63" i="9"/>
  <c r="U63" i="9"/>
  <c r="V63" i="9"/>
  <c r="W63" i="9"/>
  <c r="X63" i="9"/>
  <c r="Y63" i="9"/>
  <c r="Z63" i="9"/>
  <c r="AA63" i="9"/>
  <c r="AB63" i="9"/>
  <c r="N64" i="9"/>
  <c r="O64" i="9"/>
  <c r="P64" i="9"/>
  <c r="R64" i="9"/>
  <c r="T64" i="9"/>
  <c r="U64" i="9"/>
  <c r="V64" i="9"/>
  <c r="W64" i="9"/>
  <c r="X64" i="9"/>
  <c r="Y64" i="9"/>
  <c r="Z64" i="9"/>
  <c r="AA64" i="9"/>
  <c r="AB64" i="9"/>
  <c r="N65" i="9"/>
  <c r="O65" i="9"/>
  <c r="P65" i="9"/>
  <c r="R65" i="9"/>
  <c r="T65" i="9"/>
  <c r="U65" i="9"/>
  <c r="V65" i="9"/>
  <c r="Y65" i="9"/>
  <c r="Z65" i="9"/>
  <c r="AA65" i="9"/>
  <c r="AB65" i="9"/>
  <c r="N66" i="9"/>
  <c r="O66" i="9"/>
  <c r="P66" i="9"/>
  <c r="R66" i="9"/>
  <c r="T66" i="9"/>
  <c r="U66" i="9"/>
  <c r="V66" i="9"/>
  <c r="W66" i="9"/>
  <c r="Y66" i="9"/>
  <c r="Z66" i="9"/>
  <c r="AA66" i="9"/>
  <c r="AB66" i="9"/>
  <c r="Q59" i="10" l="1"/>
  <c r="Q71" i="10"/>
  <c r="Q69" i="10"/>
  <c r="E25" i="10"/>
  <c r="E10" i="10" s="1"/>
  <c r="E7" i="10"/>
  <c r="G63" i="10"/>
  <c r="AA6" i="10"/>
  <c r="AA5" i="10" s="1"/>
  <c r="H6" i="10"/>
  <c r="H5" i="10" s="1"/>
  <c r="N73" i="10"/>
  <c r="Z73" i="10"/>
  <c r="Z66" i="10"/>
  <c r="S71" i="10"/>
  <c r="S69" i="10"/>
  <c r="S67" i="10"/>
  <c r="S73" i="10" s="1"/>
  <c r="L21" i="10"/>
  <c r="M21" i="10" s="1"/>
  <c r="W70" i="10"/>
  <c r="G62" i="10"/>
  <c r="Q28" i="11"/>
  <c r="Q12" i="11" s="1"/>
  <c r="Q6" i="11" s="1"/>
  <c r="Q5" i="11" s="1"/>
  <c r="U81" i="11"/>
  <c r="Z81" i="11"/>
  <c r="S28" i="11"/>
  <c r="S12" i="11" s="1"/>
  <c r="S6" i="11" s="1"/>
  <c r="S5" i="11" s="1"/>
  <c r="AA73" i="10"/>
  <c r="AA76" i="10" s="1"/>
  <c r="AA66" i="10"/>
  <c r="S25" i="10"/>
  <c r="U12" i="11"/>
  <c r="U6" i="11" s="1"/>
  <c r="U5" i="11" s="1"/>
  <c r="X81" i="11"/>
  <c r="X84" i="11" s="1"/>
  <c r="M42" i="10"/>
  <c r="J73" i="10"/>
  <c r="Q70" i="10"/>
  <c r="Q73" i="10" s="1"/>
  <c r="Q25" i="10"/>
  <c r="Q10" i="10" s="1"/>
  <c r="Q6" i="10" s="1"/>
  <c r="Q5" i="10" s="1"/>
  <c r="L42" i="10"/>
  <c r="H84" i="11"/>
  <c r="R72" i="12"/>
  <c r="AD22" i="12"/>
  <c r="H78" i="12"/>
  <c r="Y82" i="11"/>
  <c r="S81" i="11"/>
  <c r="Q81" i="11"/>
  <c r="I84" i="11"/>
  <c r="M46" i="11"/>
  <c r="N84" i="11"/>
  <c r="X82" i="11"/>
  <c r="G10" i="12"/>
  <c r="T75" i="12"/>
  <c r="D66" i="12"/>
  <c r="D67" i="12" s="1"/>
  <c r="AD10" i="12"/>
  <c r="X6" i="12"/>
  <c r="X5" i="12" s="1"/>
  <c r="X78" i="12" s="1"/>
  <c r="R68" i="12"/>
  <c r="R75" i="12" s="1"/>
  <c r="AD7" i="12"/>
  <c r="Z76" i="12"/>
  <c r="R6" i="12"/>
  <c r="V75" i="12"/>
  <c r="AA10" i="12"/>
  <c r="AA6" i="12" s="1"/>
  <c r="AA5" i="12" s="1"/>
  <c r="AA78" i="12" s="1"/>
  <c r="W82" i="11"/>
  <c r="J84" i="11"/>
  <c r="F6" i="12"/>
  <c r="F5" i="12" s="1"/>
  <c r="V10" i="12"/>
  <c r="V6" i="12" s="1"/>
  <c r="V5" i="12" s="1"/>
  <c r="E5" i="12"/>
  <c r="G43" i="12"/>
  <c r="G42" i="12" s="1"/>
  <c r="G6" i="12" s="1"/>
  <c r="G66" i="12" s="1"/>
  <c r="L75" i="12"/>
  <c r="AC76" i="12"/>
  <c r="Z78" i="12"/>
  <c r="AB78" i="12"/>
  <c r="M10" i="12"/>
  <c r="M6" i="12" s="1"/>
  <c r="M5" i="12" s="1"/>
  <c r="M73" i="12"/>
  <c r="M75" i="12" s="1"/>
  <c r="Y76" i="12"/>
  <c r="Y78" i="12"/>
  <c r="L10" i="12"/>
  <c r="L6" i="12" s="1"/>
  <c r="L5" i="12" s="1"/>
  <c r="AA84" i="11"/>
  <c r="D5" i="11"/>
  <c r="T84" i="11"/>
  <c r="M77" i="11"/>
  <c r="L77" i="11"/>
  <c r="L28" i="11"/>
  <c r="M28" i="11" s="1"/>
  <c r="Y84" i="11"/>
  <c r="AA82" i="11"/>
  <c r="R84" i="11"/>
  <c r="Z82" i="11"/>
  <c r="M79" i="11"/>
  <c r="M24" i="11"/>
  <c r="M78" i="11" s="1"/>
  <c r="L78" i="11"/>
  <c r="F6" i="11"/>
  <c r="E6" i="11"/>
  <c r="G6" i="11"/>
  <c r="M70" i="10"/>
  <c r="R73" i="10"/>
  <c r="U73" i="10"/>
  <c r="G9" i="10"/>
  <c r="G7" i="10" s="1"/>
  <c r="X10" i="10"/>
  <c r="E41" i="10"/>
  <c r="E6" i="10" s="1"/>
  <c r="M56" i="10"/>
  <c r="M68" i="10" s="1"/>
  <c r="L59" i="10"/>
  <c r="S59" i="10"/>
  <c r="D6" i="10"/>
  <c r="W73" i="10"/>
  <c r="M69" i="10"/>
  <c r="L25" i="10"/>
  <c r="M25" i="10" s="1"/>
  <c r="M10" i="10" s="1"/>
  <c r="S42" i="10"/>
  <c r="S41" i="10" s="1"/>
  <c r="I41" i="10"/>
  <c r="M7" i="10"/>
  <c r="M66" i="10" s="1"/>
  <c r="Y73" i="10"/>
  <c r="S10" i="10"/>
  <c r="S6" i="10" s="1"/>
  <c r="S5" i="10" s="1"/>
  <c r="V76" i="10"/>
  <c r="X73" i="10"/>
  <c r="AB73" i="10"/>
  <c r="T6" i="10"/>
  <c r="T5" i="10" s="1"/>
  <c r="T73" i="10"/>
  <c r="R6" i="10"/>
  <c r="R5" i="10" s="1"/>
  <c r="L7" i="10"/>
  <c r="L66" i="10" s="1"/>
  <c r="W6" i="10"/>
  <c r="W5" i="10" s="1"/>
  <c r="J6" i="10"/>
  <c r="J5" i="10" s="1"/>
  <c r="J76" i="10" s="1"/>
  <c r="I6" i="10"/>
  <c r="I5" i="10" s="1"/>
  <c r="X6" i="10"/>
  <c r="X5" i="10" s="1"/>
  <c r="AB6" i="10"/>
  <c r="AB5" i="10" s="1"/>
  <c r="Y6" i="10"/>
  <c r="Y5" i="10" s="1"/>
  <c r="N6" i="10"/>
  <c r="N5" i="10" s="1"/>
  <c r="N76" i="10" s="1"/>
  <c r="U6" i="10"/>
  <c r="U5" i="10" s="1"/>
  <c r="Z6" i="10"/>
  <c r="Z5" i="10" s="1"/>
  <c r="G26" i="10"/>
  <c r="G25" i="10" s="1"/>
  <c r="G10" i="10" s="1"/>
  <c r="F25" i="10"/>
  <c r="F10" i="10" s="1"/>
  <c r="G42" i="10"/>
  <c r="G41" i="10" s="1"/>
  <c r="F41" i="10"/>
  <c r="AA74" i="10"/>
  <c r="M67" i="10"/>
  <c r="D64" i="10"/>
  <c r="D65" i="10" s="1"/>
  <c r="D5" i="10"/>
  <c r="M71" i="10"/>
  <c r="C6" i="10"/>
  <c r="L41" i="10"/>
  <c r="H67" i="10"/>
  <c r="H73" i="10" s="1"/>
  <c r="H76" i="10" s="1"/>
  <c r="L67" i="10"/>
  <c r="L71" i="10"/>
  <c r="I68" i="10"/>
  <c r="I73" i="10" s="1"/>
  <c r="L69" i="10"/>
  <c r="L70" i="10"/>
  <c r="R37" i="9"/>
  <c r="R36" i="9" s="1"/>
  <c r="T37" i="9"/>
  <c r="T36" i="9" s="1"/>
  <c r="U37" i="9"/>
  <c r="U36" i="9" s="1"/>
  <c r="R24" i="9"/>
  <c r="R10" i="9" s="1"/>
  <c r="T24" i="9"/>
  <c r="U24" i="9"/>
  <c r="U10" i="9" s="1"/>
  <c r="Q22" i="9"/>
  <c r="T10" i="9"/>
  <c r="R7" i="9"/>
  <c r="R61" i="9" s="1"/>
  <c r="R68" i="9" s="1"/>
  <c r="T7" i="9"/>
  <c r="T61" i="9" s="1"/>
  <c r="T68" i="9" s="1"/>
  <c r="U7" i="9"/>
  <c r="U61" i="9" s="1"/>
  <c r="U68" i="9" s="1"/>
  <c r="X48" i="9"/>
  <c r="X66" i="9" s="1"/>
  <c r="W20" i="9"/>
  <c r="L21" i="9"/>
  <c r="L22" i="9"/>
  <c r="L16" i="9"/>
  <c r="W24" i="9"/>
  <c r="V68" i="9"/>
  <c r="Q20" i="9"/>
  <c r="X54" i="9"/>
  <c r="Y54" i="9"/>
  <c r="Q54" i="9" s="1"/>
  <c r="Z54" i="9"/>
  <c r="AA54" i="9"/>
  <c r="AB54" i="9"/>
  <c r="W54" i="9"/>
  <c r="S53" i="9"/>
  <c r="S55" i="9"/>
  <c r="S56" i="9"/>
  <c r="S57" i="9"/>
  <c r="S58" i="9"/>
  <c r="Q53" i="9"/>
  <c r="Q55" i="9"/>
  <c r="L53" i="9"/>
  <c r="L55" i="9"/>
  <c r="L17" i="9"/>
  <c r="M17" i="9" s="1"/>
  <c r="Q17" i="9"/>
  <c r="S17" i="9"/>
  <c r="Q25" i="9"/>
  <c r="S38" i="9"/>
  <c r="X20" i="9"/>
  <c r="X65" i="9" s="1"/>
  <c r="L8" i="9"/>
  <c r="X7" i="9"/>
  <c r="X61" i="9" s="1"/>
  <c r="X76" i="10" l="1"/>
  <c r="W76" i="10"/>
  <c r="T6" i="9"/>
  <c r="T5" i="9" s="1"/>
  <c r="Z76" i="10"/>
  <c r="AB76" i="10"/>
  <c r="E64" i="10"/>
  <c r="E65" i="10" s="1"/>
  <c r="E5" i="10"/>
  <c r="S76" i="10"/>
  <c r="Q76" i="10"/>
  <c r="Y76" i="10"/>
  <c r="Z74" i="10"/>
  <c r="L10" i="10"/>
  <c r="L6" i="10" s="1"/>
  <c r="L5" i="10" s="1"/>
  <c r="W10" i="9"/>
  <c r="W65" i="9"/>
  <c r="R6" i="9"/>
  <c r="R5" i="9" s="1"/>
  <c r="M73" i="10"/>
  <c r="F6" i="10"/>
  <c r="F5" i="10" s="1"/>
  <c r="AB84" i="11"/>
  <c r="Q84" i="11"/>
  <c r="W84" i="11"/>
  <c r="X76" i="12"/>
  <c r="T10" i="12"/>
  <c r="T6" i="12" s="1"/>
  <c r="T5" i="12" s="1"/>
  <c r="T78" i="12" s="1"/>
  <c r="V78" i="12"/>
  <c r="R5" i="12"/>
  <c r="AD6" i="12"/>
  <c r="F66" i="12"/>
  <c r="AA76" i="12"/>
  <c r="M78" i="12"/>
  <c r="G5" i="12"/>
  <c r="L78" i="12"/>
  <c r="U84" i="11"/>
  <c r="S84" i="11"/>
  <c r="L81" i="11"/>
  <c r="M81" i="11"/>
  <c r="L12" i="11"/>
  <c r="L6" i="11" s="1"/>
  <c r="L5" i="11" s="1"/>
  <c r="Z84" i="11"/>
  <c r="M12" i="11"/>
  <c r="M6" i="11" s="1"/>
  <c r="M5" i="11" s="1"/>
  <c r="E72" i="11"/>
  <c r="E73" i="11" s="1"/>
  <c r="E5" i="11"/>
  <c r="G5" i="11"/>
  <c r="G72" i="11"/>
  <c r="F5" i="11"/>
  <c r="F72" i="11"/>
  <c r="T76" i="10"/>
  <c r="U76" i="10"/>
  <c r="R76" i="10"/>
  <c r="W74" i="10"/>
  <c r="Y74" i="10"/>
  <c r="AB74" i="10"/>
  <c r="M41" i="10"/>
  <c r="M6" i="10"/>
  <c r="M5" i="10" s="1"/>
  <c r="X74" i="10"/>
  <c r="I76" i="10"/>
  <c r="L73" i="10"/>
  <c r="F64" i="10"/>
  <c r="C64" i="10"/>
  <c r="C65" i="10" s="1"/>
  <c r="C5" i="10"/>
  <c r="G6" i="10"/>
  <c r="U6" i="9"/>
  <c r="U5" i="9" s="1"/>
  <c r="L20" i="9"/>
  <c r="S54" i="9"/>
  <c r="L54" i="9"/>
  <c r="X68" i="9"/>
  <c r="M76" i="10" l="1"/>
  <c r="AB82" i="11"/>
  <c r="R78" i="12"/>
  <c r="AD5" i="12"/>
  <c r="M84" i="11"/>
  <c r="L84" i="11"/>
  <c r="L76" i="10"/>
  <c r="G64" i="10"/>
  <c r="G5" i="10"/>
  <c r="K66" i="9"/>
  <c r="J66" i="9"/>
  <c r="I66" i="9"/>
  <c r="H66" i="9"/>
  <c r="K65" i="9"/>
  <c r="J65" i="9"/>
  <c r="I65" i="9"/>
  <c r="H65" i="9"/>
  <c r="K64" i="9"/>
  <c r="J64" i="9"/>
  <c r="I64" i="9"/>
  <c r="H64" i="9"/>
  <c r="K63" i="9"/>
  <c r="J63" i="9"/>
  <c r="H63" i="9"/>
  <c r="E58" i="9"/>
  <c r="F58" i="9" s="1"/>
  <c r="C58" i="9"/>
  <c r="E57" i="9"/>
  <c r="F57" i="9" s="1"/>
  <c r="C57" i="9"/>
  <c r="Q56" i="9"/>
  <c r="L56" i="9"/>
  <c r="M56" i="9" s="1"/>
  <c r="F56" i="9"/>
  <c r="G56" i="9" s="1"/>
  <c r="M53" i="9"/>
  <c r="F53" i="9"/>
  <c r="G53" i="9" s="1"/>
  <c r="S52" i="9"/>
  <c r="Q52" i="9"/>
  <c r="L52" i="9"/>
  <c r="F52" i="9"/>
  <c r="G52" i="9" s="1"/>
  <c r="S51" i="9"/>
  <c r="S63" i="9" s="1"/>
  <c r="Q51" i="9"/>
  <c r="Q63" i="9" s="1"/>
  <c r="L51" i="9"/>
  <c r="L63" i="9" s="1"/>
  <c r="I51" i="9"/>
  <c r="I63" i="9" s="1"/>
  <c r="F51" i="9"/>
  <c r="G51" i="9" s="1"/>
  <c r="S50" i="9"/>
  <c r="Q50" i="9"/>
  <c r="L50" i="9"/>
  <c r="M50" i="9" s="1"/>
  <c r="F50" i="9"/>
  <c r="G50" i="9" s="1"/>
  <c r="S49" i="9"/>
  <c r="Q49" i="9"/>
  <c r="L49" i="9"/>
  <c r="M49" i="9" s="1"/>
  <c r="F49" i="9"/>
  <c r="G49" i="9" s="1"/>
  <c r="S48" i="9"/>
  <c r="Q48" i="9"/>
  <c r="L48" i="9"/>
  <c r="F48" i="9"/>
  <c r="G48" i="9" s="1"/>
  <c r="S47" i="9"/>
  <c r="Q47" i="9"/>
  <c r="L47" i="9"/>
  <c r="F47" i="9"/>
  <c r="G47" i="9" s="1"/>
  <c r="S46" i="9"/>
  <c r="Q46" i="9"/>
  <c r="L46" i="9"/>
  <c r="M46" i="9" s="1"/>
  <c r="F46" i="9"/>
  <c r="G46" i="9" s="1"/>
  <c r="S45" i="9"/>
  <c r="Q45" i="9"/>
  <c r="L45" i="9"/>
  <c r="M45" i="9" s="1"/>
  <c r="F45" i="9"/>
  <c r="G45" i="9" s="1"/>
  <c r="S42" i="9"/>
  <c r="Q42" i="9"/>
  <c r="L42" i="9"/>
  <c r="M42" i="9" s="1"/>
  <c r="F42" i="9"/>
  <c r="G42" i="9" s="1"/>
  <c r="S41" i="9"/>
  <c r="Q41" i="9"/>
  <c r="L41" i="9"/>
  <c r="M41" i="9" s="1"/>
  <c r="F41" i="9"/>
  <c r="G41" i="9" s="1"/>
  <c r="S40" i="9"/>
  <c r="Q40" i="9"/>
  <c r="L40" i="9"/>
  <c r="M40" i="9" s="1"/>
  <c r="F40" i="9"/>
  <c r="G40" i="9" s="1"/>
  <c r="S39" i="9"/>
  <c r="S37" i="9" s="1"/>
  <c r="Q39" i="9"/>
  <c r="L39" i="9"/>
  <c r="F39" i="9"/>
  <c r="G39" i="9" s="1"/>
  <c r="Q38" i="9"/>
  <c r="L38" i="9"/>
  <c r="F38" i="9"/>
  <c r="G38" i="9" s="1"/>
  <c r="AB37" i="9"/>
  <c r="AB36" i="9" s="1"/>
  <c r="AA37" i="9"/>
  <c r="AA36" i="9" s="1"/>
  <c r="Z37" i="9"/>
  <c r="Z36" i="9" s="1"/>
  <c r="Y37" i="9"/>
  <c r="Y36" i="9" s="1"/>
  <c r="X37" i="9"/>
  <c r="X36" i="9" s="1"/>
  <c r="W37" i="9"/>
  <c r="W36" i="9" s="1"/>
  <c r="N37" i="9"/>
  <c r="N36" i="9" s="1"/>
  <c r="K37" i="9"/>
  <c r="K36" i="9" s="1"/>
  <c r="K6" i="9" s="1"/>
  <c r="K5" i="9" s="1"/>
  <c r="J37" i="9"/>
  <c r="J36" i="9" s="1"/>
  <c r="I37" i="9"/>
  <c r="H37" i="9"/>
  <c r="H36" i="9" s="1"/>
  <c r="E37" i="9"/>
  <c r="F37" i="9" s="1"/>
  <c r="D37" i="9"/>
  <c r="D36" i="9" s="1"/>
  <c r="C37" i="9"/>
  <c r="C36" i="9" s="1"/>
  <c r="S35" i="9"/>
  <c r="Q35" i="9"/>
  <c r="L35" i="9"/>
  <c r="M35" i="9" s="1"/>
  <c r="S34" i="9"/>
  <c r="Q34" i="9"/>
  <c r="L34" i="9"/>
  <c r="M34" i="9" s="1"/>
  <c r="F34" i="9"/>
  <c r="G34" i="9" s="1"/>
  <c r="S33" i="9"/>
  <c r="Q33" i="9"/>
  <c r="L33" i="9"/>
  <c r="M33" i="9" s="1"/>
  <c r="F33" i="9"/>
  <c r="G33" i="9" s="1"/>
  <c r="S32" i="9"/>
  <c r="Q32" i="9"/>
  <c r="L32" i="9"/>
  <c r="L65" i="9" s="1"/>
  <c r="F32" i="9"/>
  <c r="G32" i="9" s="1"/>
  <c r="S31" i="9"/>
  <c r="Q31" i="9"/>
  <c r="L31" i="9"/>
  <c r="M31" i="9" s="1"/>
  <c r="F31" i="9"/>
  <c r="G31" i="9" s="1"/>
  <c r="S30" i="9"/>
  <c r="Q30" i="9"/>
  <c r="L30" i="9"/>
  <c r="M30" i="9" s="1"/>
  <c r="F30" i="9"/>
  <c r="G30" i="9" s="1"/>
  <c r="S29" i="9"/>
  <c r="Q29" i="9"/>
  <c r="L29" i="9"/>
  <c r="M29" i="9" s="1"/>
  <c r="F29" i="9"/>
  <c r="G29" i="9" s="1"/>
  <c r="S28" i="9"/>
  <c r="Q28" i="9"/>
  <c r="L28" i="9"/>
  <c r="M28" i="9" s="1"/>
  <c r="S27" i="9"/>
  <c r="Q27" i="9"/>
  <c r="L27" i="9"/>
  <c r="M27" i="9" s="1"/>
  <c r="F27" i="9"/>
  <c r="G27" i="9" s="1"/>
  <c r="S26" i="9"/>
  <c r="Q26" i="9"/>
  <c r="L26" i="9"/>
  <c r="M26" i="9" s="1"/>
  <c r="F26" i="9"/>
  <c r="G26" i="9" s="1"/>
  <c r="X24" i="9"/>
  <c r="S25" i="9"/>
  <c r="L25" i="9"/>
  <c r="M25" i="9" s="1"/>
  <c r="E25" i="9"/>
  <c r="F25" i="9" s="1"/>
  <c r="C25" i="9"/>
  <c r="C24" i="9" s="1"/>
  <c r="C10" i="9" s="1"/>
  <c r="AB24" i="9"/>
  <c r="AB10" i="9" s="1"/>
  <c r="AA24" i="9"/>
  <c r="AA10" i="9" s="1"/>
  <c r="Z24" i="9"/>
  <c r="Z10" i="9" s="1"/>
  <c r="Y24" i="9"/>
  <c r="Y10" i="9" s="1"/>
  <c r="N24" i="9"/>
  <c r="N10" i="9" s="1"/>
  <c r="K24" i="9"/>
  <c r="J24" i="9"/>
  <c r="J10" i="9" s="1"/>
  <c r="I24" i="9"/>
  <c r="I10" i="9" s="1"/>
  <c r="H24" i="9"/>
  <c r="H10" i="9" s="1"/>
  <c r="D24" i="9"/>
  <c r="D10" i="9" s="1"/>
  <c r="S23" i="9"/>
  <c r="Q23" i="9"/>
  <c r="L23" i="9"/>
  <c r="M23" i="9" s="1"/>
  <c r="F23" i="9"/>
  <c r="G23" i="9" s="1"/>
  <c r="S22" i="9"/>
  <c r="M22" i="9"/>
  <c r="F22" i="9"/>
  <c r="G22" i="9" s="1"/>
  <c r="S21" i="9"/>
  <c r="Q21" i="9"/>
  <c r="F21" i="9"/>
  <c r="G21" i="9" s="1"/>
  <c r="M20" i="9"/>
  <c r="F20" i="9"/>
  <c r="G20" i="9" s="1"/>
  <c r="S19" i="9"/>
  <c r="Q19" i="9"/>
  <c r="L19" i="9"/>
  <c r="L62" i="9" s="1"/>
  <c r="S18" i="9"/>
  <c r="Q18" i="9"/>
  <c r="L18" i="9"/>
  <c r="M18" i="9" s="1"/>
  <c r="S16" i="9"/>
  <c r="Q16" i="9"/>
  <c r="S15" i="9"/>
  <c r="Q15" i="9"/>
  <c r="Q64" i="9" s="1"/>
  <c r="L15" i="9"/>
  <c r="S14" i="9"/>
  <c r="Q14" i="9"/>
  <c r="L14" i="9"/>
  <c r="M14" i="9" s="1"/>
  <c r="S13" i="9"/>
  <c r="Q13" i="9"/>
  <c r="L13" i="9"/>
  <c r="M13" i="9" s="1"/>
  <c r="S12" i="9"/>
  <c r="Q12" i="9"/>
  <c r="L12" i="9"/>
  <c r="M12" i="9" s="1"/>
  <c r="S11" i="9"/>
  <c r="Q11" i="9"/>
  <c r="Q66" i="9" s="1"/>
  <c r="L11" i="9"/>
  <c r="L66" i="9" s="1"/>
  <c r="F11" i="9"/>
  <c r="G11" i="9" s="1"/>
  <c r="S9" i="9"/>
  <c r="S7" i="9" s="1"/>
  <c r="S61" i="9" s="1"/>
  <c r="Q9" i="9"/>
  <c r="Q7" i="9" s="1"/>
  <c r="Q61" i="9" s="1"/>
  <c r="L9" i="9"/>
  <c r="M9" i="9" s="1"/>
  <c r="E9" i="9"/>
  <c r="E7" i="9" s="1"/>
  <c r="C9" i="9"/>
  <c r="C7" i="9" s="1"/>
  <c r="M8" i="9"/>
  <c r="AB7" i="9"/>
  <c r="AB61" i="9" s="1"/>
  <c r="AB68" i="9" s="1"/>
  <c r="AA7" i="9"/>
  <c r="AA61" i="9" s="1"/>
  <c r="AA68" i="9" s="1"/>
  <c r="Z7" i="9"/>
  <c r="Z61" i="9" s="1"/>
  <c r="Z68" i="9" s="1"/>
  <c r="Y7" i="9"/>
  <c r="Y61" i="9" s="1"/>
  <c r="Y68" i="9" s="1"/>
  <c r="W7" i="9"/>
  <c r="W61" i="9" s="1"/>
  <c r="W68" i="9" s="1"/>
  <c r="N7" i="9"/>
  <c r="N61" i="9" s="1"/>
  <c r="N68" i="9" s="1"/>
  <c r="K7" i="9"/>
  <c r="K62" i="9" s="1"/>
  <c r="J7" i="9"/>
  <c r="J62" i="9" s="1"/>
  <c r="I7" i="9"/>
  <c r="I62" i="9" s="1"/>
  <c r="H7" i="9"/>
  <c r="H62" i="9" s="1"/>
  <c r="D7" i="9"/>
  <c r="S62" i="9" l="1"/>
  <c r="L64" i="9"/>
  <c r="S24" i="9"/>
  <c r="Q24" i="9"/>
  <c r="Q65" i="9"/>
  <c r="S36" i="9"/>
  <c r="W6" i="9"/>
  <c r="S66" i="9"/>
  <c r="S64" i="9"/>
  <c r="Q62" i="9"/>
  <c r="Z6" i="9"/>
  <c r="F36" i="9"/>
  <c r="N6" i="9"/>
  <c r="N5" i="9" s="1"/>
  <c r="N71" i="9" s="1"/>
  <c r="M11" i="9"/>
  <c r="E24" i="9"/>
  <c r="E10" i="9" s="1"/>
  <c r="M48" i="9"/>
  <c r="X10" i="9"/>
  <c r="X6" i="9" s="1"/>
  <c r="X5" i="9" s="1"/>
  <c r="X69" i="9" s="1"/>
  <c r="AA6" i="9"/>
  <c r="AB6" i="9"/>
  <c r="AB5" i="9" s="1"/>
  <c r="AB69" i="9" s="1"/>
  <c r="Y6" i="9"/>
  <c r="Y5" i="9" s="1"/>
  <c r="Y69" i="9" s="1"/>
  <c r="M21" i="9"/>
  <c r="M62" i="9" s="1"/>
  <c r="M15" i="9"/>
  <c r="M16" i="9"/>
  <c r="M19" i="9"/>
  <c r="M52" i="9"/>
  <c r="M65" i="9" s="1"/>
  <c r="M47" i="9"/>
  <c r="M38" i="9"/>
  <c r="M32" i="9"/>
  <c r="G57" i="9"/>
  <c r="G58" i="9"/>
  <c r="E36" i="9"/>
  <c r="E6" i="9" s="1"/>
  <c r="F9" i="9"/>
  <c r="G9" i="9" s="1"/>
  <c r="G7" i="9" s="1"/>
  <c r="I36" i="9"/>
  <c r="I6" i="9" s="1"/>
  <c r="I5" i="9" s="1"/>
  <c r="L7" i="9"/>
  <c r="L61" i="9" s="1"/>
  <c r="L68" i="9" s="1"/>
  <c r="H68" i="9"/>
  <c r="K68" i="9"/>
  <c r="K71" i="9" s="1"/>
  <c r="J6" i="9"/>
  <c r="J5" i="9" s="1"/>
  <c r="J68" i="9"/>
  <c r="D6" i="9"/>
  <c r="D59" i="9" s="1"/>
  <c r="I68" i="9"/>
  <c r="H6" i="9"/>
  <c r="H5" i="9" s="1"/>
  <c r="Q37" i="9"/>
  <c r="Q36" i="9" s="1"/>
  <c r="Z5" i="9"/>
  <c r="Z69" i="9" s="1"/>
  <c r="W5" i="9"/>
  <c r="L37" i="9"/>
  <c r="L36" i="9" s="1"/>
  <c r="M39" i="9"/>
  <c r="Q10" i="9"/>
  <c r="L24" i="9"/>
  <c r="M7" i="9"/>
  <c r="M61" i="9" s="1"/>
  <c r="C6" i="9"/>
  <c r="F24" i="9"/>
  <c r="F10" i="9" s="1"/>
  <c r="G25" i="9"/>
  <c r="G24" i="9" s="1"/>
  <c r="G10" i="9" s="1"/>
  <c r="G37" i="9"/>
  <c r="G36" i="9" s="1"/>
  <c r="S20" i="9"/>
  <c r="S65" i="9" s="1"/>
  <c r="M51" i="9"/>
  <c r="M63" i="9" s="1"/>
  <c r="M66" i="9" l="1"/>
  <c r="S10" i="9"/>
  <c r="M64" i="9"/>
  <c r="Q6" i="9"/>
  <c r="Q5" i="9" s="1"/>
  <c r="M24" i="9"/>
  <c r="M10" i="9" s="1"/>
  <c r="L10" i="9"/>
  <c r="S68" i="9"/>
  <c r="W69" i="9"/>
  <c r="W71" i="9"/>
  <c r="Q68" i="9"/>
  <c r="M37" i="9"/>
  <c r="M36" i="9" s="1"/>
  <c r="H71" i="9"/>
  <c r="D5" i="9"/>
  <c r="E59" i="9"/>
  <c r="E60" i="9" s="1"/>
  <c r="E5" i="9"/>
  <c r="F7" i="9"/>
  <c r="F6" i="9" s="1"/>
  <c r="F5" i="9" s="1"/>
  <c r="D60" i="9"/>
  <c r="J71" i="9"/>
  <c r="I71" i="9"/>
  <c r="AB71" i="9"/>
  <c r="Z71" i="9"/>
  <c r="AA5" i="9"/>
  <c r="Y71" i="9"/>
  <c r="C59" i="9"/>
  <c r="C60" i="9" s="1"/>
  <c r="C5" i="9"/>
  <c r="G6" i="9"/>
  <c r="L6" i="9" l="1"/>
  <c r="L5" i="9" s="1"/>
  <c r="L71" i="9" s="1"/>
  <c r="M6" i="9"/>
  <c r="M5" i="9" s="1"/>
  <c r="M68" i="9"/>
  <c r="S6" i="9"/>
  <c r="S5" i="9" s="1"/>
  <c r="S71" i="9" s="1"/>
  <c r="Q71" i="9"/>
  <c r="AA71" i="9"/>
  <c r="AA69" i="9"/>
  <c r="F59" i="9"/>
  <c r="X71" i="9"/>
  <c r="G59" i="9"/>
  <c r="G5" i="9"/>
  <c r="M71" i="9" l="1"/>
  <c r="H48" i="7"/>
  <c r="P35" i="7"/>
  <c r="J53" i="7"/>
  <c r="J54" i="7"/>
  <c r="J51" i="7"/>
  <c r="H19" i="7"/>
  <c r="I19" i="7"/>
  <c r="P19" i="7"/>
  <c r="Q19" i="7"/>
  <c r="I23" i="7"/>
  <c r="I22" i="7" s="1"/>
  <c r="J16" i="7"/>
  <c r="H23" i="7"/>
  <c r="H22" i="7" s="1"/>
  <c r="Q23" i="7"/>
  <c r="H59" i="7"/>
  <c r="H10" i="7" l="1"/>
  <c r="I10" i="7"/>
  <c r="Q9" i="7"/>
  <c r="Q7" i="7" s="1"/>
  <c r="Q58" i="7" s="1"/>
  <c r="H9" i="7"/>
  <c r="J32" i="7"/>
  <c r="P48" i="7"/>
  <c r="P34" i="7" s="1"/>
  <c r="Q48" i="7"/>
  <c r="I35" i="7"/>
  <c r="I34" i="7" s="1"/>
  <c r="I7" i="7"/>
  <c r="J30" i="7"/>
  <c r="J31" i="7"/>
  <c r="Q18" i="7"/>
  <c r="Q61" i="7" s="1"/>
  <c r="B60" i="7"/>
  <c r="O58" i="7"/>
  <c r="O64" i="7" s="1"/>
  <c r="O67" i="7" s="1"/>
  <c r="O59" i="7"/>
  <c r="R59" i="7"/>
  <c r="S59" i="7"/>
  <c r="T59" i="7"/>
  <c r="U59" i="7"/>
  <c r="K60" i="7"/>
  <c r="M60" i="7"/>
  <c r="O60" i="7"/>
  <c r="P60" i="7"/>
  <c r="Q60" i="7"/>
  <c r="R60" i="7"/>
  <c r="S60" i="7"/>
  <c r="T60" i="7"/>
  <c r="U60" i="7"/>
  <c r="K61" i="7"/>
  <c r="M61" i="7"/>
  <c r="O61" i="7"/>
  <c r="P61" i="7"/>
  <c r="R61" i="7"/>
  <c r="S61" i="7"/>
  <c r="T61" i="7"/>
  <c r="U61" i="7"/>
  <c r="K62" i="7"/>
  <c r="M62" i="7"/>
  <c r="O62" i="7"/>
  <c r="P62" i="7"/>
  <c r="Q62" i="7"/>
  <c r="R62" i="7"/>
  <c r="S62" i="7"/>
  <c r="T62" i="7"/>
  <c r="U62" i="7"/>
  <c r="N18" i="7"/>
  <c r="L18" i="7"/>
  <c r="N24" i="7"/>
  <c r="L24" i="7"/>
  <c r="J24" i="7"/>
  <c r="M35" i="7"/>
  <c r="K35" i="7"/>
  <c r="N8" i="7"/>
  <c r="N9" i="7"/>
  <c r="N11" i="7"/>
  <c r="N12" i="7"/>
  <c r="N13" i="7"/>
  <c r="N14" i="7"/>
  <c r="N15" i="7"/>
  <c r="N17" i="7"/>
  <c r="N20" i="7"/>
  <c r="N21" i="7"/>
  <c r="N23" i="7"/>
  <c r="N25" i="7"/>
  <c r="N26" i="7"/>
  <c r="N27" i="7"/>
  <c r="N28" i="7"/>
  <c r="N29" i="7"/>
  <c r="N30" i="7"/>
  <c r="N31" i="7"/>
  <c r="N32" i="7"/>
  <c r="N33" i="7"/>
  <c r="N37" i="7"/>
  <c r="N38" i="7"/>
  <c r="N39" i="7"/>
  <c r="N40" i="7"/>
  <c r="N41" i="7"/>
  <c r="N42" i="7"/>
  <c r="N43" i="7"/>
  <c r="N44" i="7"/>
  <c r="N45" i="7"/>
  <c r="N46" i="7"/>
  <c r="N47" i="7"/>
  <c r="N48" i="7"/>
  <c r="N59" i="7" s="1"/>
  <c r="N49" i="7"/>
  <c r="N50" i="7"/>
  <c r="N52" i="7"/>
  <c r="N53" i="7"/>
  <c r="N54" i="7"/>
  <c r="N55" i="7"/>
  <c r="N56" i="7"/>
  <c r="L20" i="7"/>
  <c r="L21" i="7"/>
  <c r="L23" i="7"/>
  <c r="L25" i="7"/>
  <c r="L26" i="7"/>
  <c r="L27" i="7"/>
  <c r="L28" i="7"/>
  <c r="L29" i="7"/>
  <c r="L30" i="7"/>
  <c r="L31" i="7"/>
  <c r="L32" i="7"/>
  <c r="L33" i="7"/>
  <c r="L37" i="7"/>
  <c r="L38" i="7"/>
  <c r="L39" i="7"/>
  <c r="L40" i="7"/>
  <c r="L41" i="7"/>
  <c r="L42" i="7"/>
  <c r="L43" i="7"/>
  <c r="L44" i="7"/>
  <c r="L45" i="7"/>
  <c r="L46" i="7"/>
  <c r="L47" i="7"/>
  <c r="L48" i="7"/>
  <c r="L59" i="7" s="1"/>
  <c r="L49" i="7"/>
  <c r="L50" i="7"/>
  <c r="L52" i="7"/>
  <c r="L8" i="7"/>
  <c r="L9" i="7"/>
  <c r="L11" i="7"/>
  <c r="L12" i="7"/>
  <c r="L13" i="7"/>
  <c r="L14" i="7"/>
  <c r="L15" i="7"/>
  <c r="L17" i="7"/>
  <c r="J20" i="7"/>
  <c r="J21" i="7"/>
  <c r="J23" i="7"/>
  <c r="J25" i="7"/>
  <c r="J26" i="7"/>
  <c r="J27" i="7"/>
  <c r="J28" i="7"/>
  <c r="J29" i="7"/>
  <c r="J33" i="7"/>
  <c r="J37" i="7"/>
  <c r="J38" i="7"/>
  <c r="J39" i="7"/>
  <c r="J40" i="7"/>
  <c r="J41" i="7"/>
  <c r="J42" i="7"/>
  <c r="J43" i="7"/>
  <c r="J44" i="7"/>
  <c r="J45" i="7"/>
  <c r="J46" i="7"/>
  <c r="J47" i="7"/>
  <c r="J49" i="7"/>
  <c r="J50" i="7"/>
  <c r="J52" i="7"/>
  <c r="J12" i="7"/>
  <c r="J13" i="7"/>
  <c r="J14" i="7"/>
  <c r="J15" i="7"/>
  <c r="J17" i="7"/>
  <c r="J8" i="7"/>
  <c r="J11" i="7"/>
  <c r="N19" i="7"/>
  <c r="L19" i="7"/>
  <c r="J19" i="7"/>
  <c r="K7" i="7"/>
  <c r="K58" i="7" s="1"/>
  <c r="M7" i="7"/>
  <c r="M58" i="7" s="1"/>
  <c r="K22" i="7"/>
  <c r="K10" i="7" s="1"/>
  <c r="M22" i="7"/>
  <c r="M10" i="7" s="1"/>
  <c r="K48" i="7"/>
  <c r="K59" i="7" s="1"/>
  <c r="M48" i="7"/>
  <c r="M59" i="7" s="1"/>
  <c r="H62" i="7"/>
  <c r="H61" i="7"/>
  <c r="H60" i="7"/>
  <c r="E54" i="7"/>
  <c r="F54" i="7" s="1"/>
  <c r="C54" i="7"/>
  <c r="E53" i="7"/>
  <c r="F53" i="7" s="1"/>
  <c r="C53" i="7"/>
  <c r="F52" i="7"/>
  <c r="G52" i="7" s="1"/>
  <c r="F50" i="7"/>
  <c r="G50" i="7" s="1"/>
  <c r="F49" i="7"/>
  <c r="G49" i="7" s="1"/>
  <c r="F48" i="7"/>
  <c r="G48" i="7" s="1"/>
  <c r="F47" i="7"/>
  <c r="G47" i="7" s="1"/>
  <c r="F46" i="7"/>
  <c r="G46" i="7" s="1"/>
  <c r="F45" i="7"/>
  <c r="G45" i="7" s="1"/>
  <c r="F44" i="7"/>
  <c r="G44" i="7" s="1"/>
  <c r="F43" i="7"/>
  <c r="G43" i="7" s="1"/>
  <c r="F42" i="7"/>
  <c r="G42" i="7" s="1"/>
  <c r="F41" i="7"/>
  <c r="G41" i="7" s="1"/>
  <c r="F40" i="7"/>
  <c r="G40" i="7" s="1"/>
  <c r="F39" i="7"/>
  <c r="G39" i="7" s="1"/>
  <c r="F38" i="7"/>
  <c r="G38" i="7" s="1"/>
  <c r="F37" i="7"/>
  <c r="G37" i="7" s="1"/>
  <c r="F36" i="7"/>
  <c r="G36" i="7" s="1"/>
  <c r="U35" i="7"/>
  <c r="U34" i="7" s="1"/>
  <c r="T35" i="7"/>
  <c r="T34" i="7" s="1"/>
  <c r="S35" i="7"/>
  <c r="S34" i="7" s="1"/>
  <c r="R35" i="7"/>
  <c r="R34" i="7" s="1"/>
  <c r="Q35" i="7"/>
  <c r="H35" i="7"/>
  <c r="H34" i="7" s="1"/>
  <c r="E35" i="7"/>
  <c r="E34" i="7" s="1"/>
  <c r="D35" i="7"/>
  <c r="D34" i="7" s="1"/>
  <c r="C35" i="7"/>
  <c r="C34" i="7" s="1"/>
  <c r="F32" i="7"/>
  <c r="G32" i="7" s="1"/>
  <c r="F31" i="7"/>
  <c r="G31" i="7" s="1"/>
  <c r="F30" i="7"/>
  <c r="G30" i="7" s="1"/>
  <c r="F29" i="7"/>
  <c r="G29" i="7" s="1"/>
  <c r="F28" i="7"/>
  <c r="G28" i="7" s="1"/>
  <c r="F27" i="7"/>
  <c r="G27" i="7" s="1"/>
  <c r="F25" i="7"/>
  <c r="G25" i="7" s="1"/>
  <c r="F24" i="7"/>
  <c r="G24" i="7" s="1"/>
  <c r="E23" i="7"/>
  <c r="F23" i="7" s="1"/>
  <c r="C23" i="7"/>
  <c r="C22" i="7" s="1"/>
  <c r="C10" i="7" s="1"/>
  <c r="U22" i="7"/>
  <c r="U10" i="7" s="1"/>
  <c r="T22" i="7"/>
  <c r="T10" i="7" s="1"/>
  <c r="S22" i="7"/>
  <c r="S10" i="7" s="1"/>
  <c r="R22" i="7"/>
  <c r="R10" i="7" s="1"/>
  <c r="Q22" i="7"/>
  <c r="P22" i="7"/>
  <c r="P10" i="7" s="1"/>
  <c r="D22" i="7"/>
  <c r="D10" i="7" s="1"/>
  <c r="F21" i="7"/>
  <c r="G21" i="7" s="1"/>
  <c r="F20" i="7"/>
  <c r="G20" i="7" s="1"/>
  <c r="F19" i="7"/>
  <c r="G19" i="7" s="1"/>
  <c r="F18" i="7"/>
  <c r="G18" i="7" s="1"/>
  <c r="F11" i="7"/>
  <c r="G11" i="7" s="1"/>
  <c r="E9" i="7"/>
  <c r="F9" i="7" s="1"/>
  <c r="C9" i="7"/>
  <c r="C7" i="7" s="1"/>
  <c r="U7" i="7"/>
  <c r="U58" i="7" s="1"/>
  <c r="T7" i="7"/>
  <c r="T58" i="7" s="1"/>
  <c r="S7" i="7"/>
  <c r="S58" i="7" s="1"/>
  <c r="R7" i="7"/>
  <c r="R58" i="7" s="1"/>
  <c r="P7" i="7"/>
  <c r="P58" i="7" s="1"/>
  <c r="D7" i="7"/>
  <c r="P59" i="7" l="1"/>
  <c r="T6" i="7"/>
  <c r="T5" i="7" s="1"/>
  <c r="U6" i="7"/>
  <c r="U5" i="7" s="1"/>
  <c r="L61" i="7"/>
  <c r="N7" i="7"/>
  <c r="H7" i="7"/>
  <c r="H58" i="7" s="1"/>
  <c r="H64" i="7" s="1"/>
  <c r="P6" i="7"/>
  <c r="P5" i="7" s="1"/>
  <c r="I6" i="7"/>
  <c r="I5" i="7" s="1"/>
  <c r="M64" i="7"/>
  <c r="N60" i="7"/>
  <c r="N61" i="7"/>
  <c r="U64" i="7"/>
  <c r="S6" i="7"/>
  <c r="S5" i="7" s="1"/>
  <c r="M34" i="7"/>
  <c r="M6" i="7" s="1"/>
  <c r="M5" i="7" s="1"/>
  <c r="M67" i="7" s="1"/>
  <c r="R6" i="7"/>
  <c r="R5" i="7" s="1"/>
  <c r="J9" i="7"/>
  <c r="N58" i="7"/>
  <c r="J48" i="7"/>
  <c r="J59" i="7" s="1"/>
  <c r="J62" i="7"/>
  <c r="L62" i="7"/>
  <c r="N62" i="7"/>
  <c r="K34" i="7"/>
  <c r="K6" i="7" s="1"/>
  <c r="K5" i="7" s="1"/>
  <c r="K64" i="7"/>
  <c r="T64" i="7"/>
  <c r="L7" i="7"/>
  <c r="L58" i="7" s="1"/>
  <c r="L60" i="7"/>
  <c r="R64" i="7"/>
  <c r="S64" i="7"/>
  <c r="J60" i="7"/>
  <c r="P64" i="7"/>
  <c r="J18" i="7"/>
  <c r="J61" i="7" s="1"/>
  <c r="Q10" i="7"/>
  <c r="Q59" i="7"/>
  <c r="Q64" i="7" s="1"/>
  <c r="Q34" i="7"/>
  <c r="N35" i="7"/>
  <c r="N34" i="7" s="1"/>
  <c r="L35" i="7"/>
  <c r="L34" i="7" s="1"/>
  <c r="J35" i="7"/>
  <c r="J7" i="7"/>
  <c r="J58" i="7" s="1"/>
  <c r="N10" i="7"/>
  <c r="L10" i="7"/>
  <c r="J22" i="7"/>
  <c r="N22" i="7"/>
  <c r="L22" i="7"/>
  <c r="E7" i="7"/>
  <c r="F35" i="7"/>
  <c r="F34" i="7" s="1"/>
  <c r="G53" i="7"/>
  <c r="D6" i="7"/>
  <c r="D5" i="7" s="1"/>
  <c r="C6" i="7"/>
  <c r="C5" i="7" s="1"/>
  <c r="E22" i="7"/>
  <c r="E10" i="7" s="1"/>
  <c r="G54" i="7"/>
  <c r="F22" i="7"/>
  <c r="F10" i="7" s="1"/>
  <c r="G23" i="7"/>
  <c r="G22" i="7" s="1"/>
  <c r="G10" i="7" s="1"/>
  <c r="F7" i="7"/>
  <c r="G9" i="7"/>
  <c r="G7" i="7" s="1"/>
  <c r="U67" i="7"/>
  <c r="P67" i="7" l="1"/>
  <c r="K67" i="7"/>
  <c r="J34" i="7"/>
  <c r="N64" i="7"/>
  <c r="Q6" i="7"/>
  <c r="Q5" i="7" s="1"/>
  <c r="T67" i="7"/>
  <c r="H6" i="7"/>
  <c r="H5" i="7" s="1"/>
  <c r="H67" i="7" s="1"/>
  <c r="J10" i="7"/>
  <c r="S67" i="7"/>
  <c r="L64" i="7"/>
  <c r="R67" i="7"/>
  <c r="J64" i="7"/>
  <c r="N6" i="7"/>
  <c r="N5" i="7" s="1"/>
  <c r="N67" i="7" s="1"/>
  <c r="L6" i="7"/>
  <c r="L5" i="7" s="1"/>
  <c r="E6" i="7"/>
  <c r="E5" i="7" s="1"/>
  <c r="G35" i="7"/>
  <c r="G34" i="7" s="1"/>
  <c r="G6" i="7" s="1"/>
  <c r="F6" i="7"/>
  <c r="F5" i="7" s="1"/>
  <c r="C55" i="7"/>
  <c r="C56" i="7" s="1"/>
  <c r="D55" i="7"/>
  <c r="D56" i="7" s="1"/>
  <c r="J6" i="7" l="1"/>
  <c r="L67" i="7"/>
  <c r="E55" i="7"/>
  <c r="E56" i="7" s="1"/>
  <c r="G55" i="7"/>
  <c r="G5" i="7"/>
  <c r="F55" i="7"/>
  <c r="Q67" i="7" l="1"/>
  <c r="J5" i="7"/>
  <c r="J67" i="7" s="1"/>
</calcChain>
</file>

<file path=xl/sharedStrings.xml><?xml version="1.0" encoding="utf-8"?>
<sst xmlns="http://schemas.openxmlformats.org/spreadsheetml/2006/main" count="785" uniqueCount="229">
  <si>
    <t>Объем межбюджетных трансфертов</t>
  </si>
  <si>
    <t>из республиканского бюджета Республики Хакасия</t>
  </si>
  <si>
    <t>Наименование  доходов</t>
  </si>
  <si>
    <t>Субвенции бюджетам бюджетной системы Российской Федерации</t>
  </si>
  <si>
    <t xml:space="preserve">Субвенции бюджетам городских округов на выполнение передаваемых полномочий субъектов Российской Федерации, в том числе </t>
  </si>
  <si>
    <t>- 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</si>
  <si>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-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</si>
  <si>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- субвенции на осуществление государственных полномочий по опеке и попечительству в отношении несовершеннолетних</t>
  </si>
  <si>
    <t>- субвенции на осуществление органами местного самоуправления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</si>
  <si>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- субвенции на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</si>
  <si>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- субвенции на осуществление органами местного самоуправления  государственных полномочий в области охраны труда</t>
  </si>
  <si>
    <t>- субвенции на осуществление государственных полномочий по созданию, организации и обеспечению деятельности административных комиссий</t>
  </si>
  <si>
    <t>- субвенции на осуществление отдельных  государственных полномочий по предупреждению и ликвидации болезней животных, их лечению, защите населения от болезней, общих для человека и животных</t>
  </si>
  <si>
    <t>Субвенции бюджетам городских округов на содержание  ребенка в семье опекуна и приемной семье, а также вознаграждение, причитающееся 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</si>
  <si>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</si>
  <si>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</si>
  <si>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Субвенции бюджетам городских округов на оплату жилищно-коммунальных услуг отдельным категориям граждан</t>
  </si>
  <si>
    <t>измен.</t>
  </si>
  <si>
    <t>Прочие межбюджетные трансферты, передаваемые бюджетам городских округов</t>
  </si>
  <si>
    <t>-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</si>
  <si>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- прочие субсидии  бюджетам городских округов</t>
  </si>
  <si>
    <t>- субсидии на реализацию мероприятий по предоставлению школьного питания</t>
  </si>
  <si>
    <t>2 02 00000 00 0000 000</t>
  </si>
  <si>
    <t>Безвозмездные поступления от других бюджетов бюджетной системы Российской Федерации</t>
  </si>
  <si>
    <t>Субсидии бюджетам городских округов на поддержку обустройства мест массового отдыха населения (городских парков)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</si>
  <si>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</si>
  <si>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</si>
  <si>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- дотации бюджетам городских округов на поддержку мер по обеспечению сбалансированности бюджетов</t>
  </si>
  <si>
    <t>- субсидии на материально-техническое обеспечение единых дежурно-диспетчерских служб муниципальных образований</t>
  </si>
  <si>
    <t>- субсидии  на реализацию мероприятий, направленных на энергосбережение и повышения энергетической эффективности</t>
  </si>
  <si>
    <t>субсидии на строительство,  реконструкцию, капитальный ремонт общеобразовательных организаций, оснащение оборудованием</t>
  </si>
  <si>
    <t>- субсидии на создание и поддержку существующих общественных спасательных постов в местах массового отдыха населения Республики Хакасия с наглядной агитацией по предупреждению происшествий на воде</t>
  </si>
  <si>
    <t xml:space="preserve"> - субсидии на поддержку муниципальных программ формирования современной городской среды в рамках подпрограммы "Доступное жилье" на 2018 год</t>
  </si>
  <si>
    <t xml:space="preserve"> - субсидии бюджетам муниципальных образований Республики Хакасия на частичное погашение просроченной кредиторской задолженности на 2018 г.</t>
  </si>
  <si>
    <t>Сумма на 2019 год,   тыс.руб.</t>
  </si>
  <si>
    <t>2019 руб.</t>
  </si>
  <si>
    <t>2 02 10000 00 0000 150</t>
  </si>
  <si>
    <t>2 02 20000 00 0000 150</t>
  </si>
  <si>
    <t>2 02 25519 04 0000 150</t>
  </si>
  <si>
    <t>2 02 25555 04 0000 150</t>
  </si>
  <si>
    <t>2 02 25560 04 0000 150</t>
  </si>
  <si>
    <t xml:space="preserve"> 2 02 25497 04 0000 150</t>
  </si>
  <si>
    <t>2 02 29999 04 0000 150</t>
  </si>
  <si>
    <t>2 02 30000 00 0000 150</t>
  </si>
  <si>
    <t>2 02 30024 04 0000 150</t>
  </si>
  <si>
    <t>2 02 30027 04 0000 150</t>
  </si>
  <si>
    <t>2 02 30029 04 0000 150</t>
  </si>
  <si>
    <t>2 02 35082 04 0000 150</t>
  </si>
  <si>
    <t>2 02 35250 04 0000 150</t>
  </si>
  <si>
    <t>2 02 49999 04 0000 150</t>
  </si>
  <si>
    <t xml:space="preserve">  -  субсидии на проведение работ по описанию границ населенных пунктов и внесению соответствующих сведений в Единый государственный реестр недвижимости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</si>
  <si>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</si>
  <si>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</si>
  <si>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</si>
  <si>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</si>
  <si>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2 07 04050 04 0000 150</t>
  </si>
  <si>
    <t>Прочие безвозмездные поступления в бюджеты городских округов</t>
  </si>
  <si>
    <t>2 00 00000 00 0000 000</t>
  </si>
  <si>
    <t>БЕЗВОЗМЕЗДНЫЕ ПОСТУПЛЕНИЯ</t>
  </si>
  <si>
    <t xml:space="preserve">Субсидии бюджетам городских округов на реализацию программ формирования современной городской среды
</t>
  </si>
  <si>
    <t>гороо</t>
  </si>
  <si>
    <t>адм</t>
  </si>
  <si>
    <t>жкх</t>
  </si>
  <si>
    <t>дагн</t>
  </si>
  <si>
    <t>культ</t>
  </si>
  <si>
    <t>2 02 35469 04 0000 150</t>
  </si>
  <si>
    <t xml:space="preserve">2 02 20041 04 0000 150          
</t>
  </si>
  <si>
    <t>- субсидии на реализацию мероприятий по развитию общеобразовательных организаций на 2020 год(оснащение оборудованием общеобразовательных школ в муниципальных образованиях Республики Хакасия) на 2020 год</t>
  </si>
  <si>
    <t>2 02 25097 04 0000 150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</si>
  <si>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</si>
  <si>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
Субсидии бюджетам городских округов на реализацию мероприятий по обеспечению жильем молодых семей</t>
  </si>
  <si>
    <t>бфу</t>
  </si>
  <si>
    <t>Межбюджетные трансферты, передаваемые бюджетам городских округов на создание модельных муниципальных библиотек</t>
  </si>
  <si>
    <t>2 02 45454 04 0000 150</t>
  </si>
  <si>
    <t>КБК</t>
  </si>
  <si>
    <t xml:space="preserve"> - дотации бюджетам городских округов на выравнивание бюджетной обеспеченности</t>
  </si>
  <si>
    <t>2 02 15001 04 0000 150</t>
  </si>
  <si>
    <t xml:space="preserve">2 02 15002 04 0000 150    
</t>
  </si>
  <si>
    <t xml:space="preserve">2 02 25527 04 0000 150
</t>
  </si>
  <si>
    <t>фб 2020</t>
  </si>
  <si>
    <t>рх 2020</t>
  </si>
  <si>
    <t>фб 2021</t>
  </si>
  <si>
    <t>рх 2021</t>
  </si>
  <si>
    <t>фб 2022</t>
  </si>
  <si>
    <t>рх 2022</t>
  </si>
  <si>
    <t xml:space="preserve">
2 02 25299 04 0000 150
</t>
  </si>
  <si>
    <r>
      <t xml:space="preserve"> -</t>
    </r>
    <r>
      <rPr>
        <b/>
        <sz val="9"/>
        <rFont val="Times New Roman"/>
        <family val="1"/>
        <charset val="204"/>
      </rPr>
      <t xml:space="preserve">субвенции на осуществлении отдельных государственых полномочий по организацийй мероприятий при осуществлении деятельности по обращению с животными без владельцев </t>
    </r>
  </si>
  <si>
    <t xml:space="preserve">Субвенции бюджетам городских округов на проведение Всероссийской переписи населения </t>
  </si>
  <si>
    <t xml:space="preserve"> - субсидий бюджетам муниципальных образований Республики Хакасия на модернизацию региональных систем дошкольного образования </t>
  </si>
  <si>
    <t xml:space="preserve"> -  субсидии на обеспечение первичных мер пожарной безопасности </t>
  </si>
  <si>
    <t>2020 тыс.руб</t>
  </si>
  <si>
    <t>2020 руб.</t>
  </si>
  <si>
    <t>2021тыс.руб</t>
  </si>
  <si>
    <t>2021.руб</t>
  </si>
  <si>
    <t>2022 тыс.руб</t>
  </si>
  <si>
    <t>2022 руб</t>
  </si>
  <si>
    <t>руб.</t>
  </si>
  <si>
    <t>изменения</t>
  </si>
  <si>
    <t xml:space="preserve"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</si>
  <si>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</si>
  <si>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 xml:space="preserve">Субсидии бюджетам городских округов на реализацию мероприятий по обеспечению жильем молодых семей
</t>
  </si>
  <si>
    <t xml:space="preserve">Дотации бюджетам городских округов на выравнивание бюджетной обеспеченности из бюджета субъекта Российской Федерации
</t>
  </si>
  <si>
    <t>Дотации бюджетам городских округов на поддержку мер по обеспечению сбалансированности бюджетов</t>
  </si>
  <si>
    <t xml:space="preserve">Субсидии бюджетам городских округов на поддержку отрасли культуры
</t>
  </si>
  <si>
    <r>
      <rPr>
        <b/>
        <sz val="9"/>
        <color rgb="FF00B050"/>
        <rFont val="Times New Roman"/>
        <family val="1"/>
        <charset val="204"/>
      </rPr>
      <t xml:space="preserve">Субсидии бюджетам городских округов на государственную поддержку малого и среднего предпринимательства в субъектах Российской Федерации
</t>
    </r>
    <r>
      <rPr>
        <sz val="9"/>
        <color rgb="FF00B050"/>
        <rFont val="Times New Roman"/>
        <family val="1"/>
        <charset val="204"/>
      </rPr>
      <t xml:space="preserve">
</t>
    </r>
  </si>
  <si>
    <t xml:space="preserve">Субсидии бюджетам городских округов на реализацию программ формирования современной городской среды
</t>
  </si>
  <si>
    <t xml:space="preserve">Субвенции бюджетам городских округов на выполнение передаваемых полномочий субъектов Российской Федерации
, в том числе 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</si>
  <si>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</si>
  <si>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проведение Всероссийской переписи населения на 2020 год</t>
  </si>
  <si>
    <t xml:space="preserve"> - субсидии на частичное погашение кредиторской задолженности</t>
  </si>
  <si>
    <t>в бюджет муниципального образования город Саяногорск на 2020 год (данные на 18.08.2020))</t>
  </si>
  <si>
    <t xml:space="preserve"> - субсидии на реализацию мероприятий по развитию общеобразовательных организации в целях реализации мероприятия регионального проекта "Цифровая образовательная среда" в рамках национального проекта "Образование по внедрению целевой модели цифровой образовательной среды в общеобразовательных ораганизациях и профессиональных образовательных организациях)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</si>
  <si>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</si>
  <si>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</si>
  <si>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</si>
  <si>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</si>
  <si>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-  субсидии на мероприятия по предупреждению распространения новой коронавирусной инфекции в рамках подпрограммы "Обеспечение реализации государственной программы" на 2020 год</t>
  </si>
  <si>
    <t>откл.</t>
  </si>
  <si>
    <t xml:space="preserve">
2 02 20229 04 0000 150
</t>
  </si>
  <si>
    <t>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</si>
  <si>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 xml:space="preserve"> - субсидии на ликвидацию мест несанкционированного размещения твердых коммунальных отходов </t>
  </si>
  <si>
    <t>фб 2023</t>
  </si>
  <si>
    <t>рх 2023</t>
  </si>
  <si>
    <t xml:space="preserve">- субсидии на реализацию мероприятий по развитию общеобразовательных организаций </t>
  </si>
  <si>
    <t xml:space="preserve"> -субвенции на осуществлении отдельных государственных полномочий по организаций мероприятий при осуществлении деятельности по обращению с животными без владельцев </t>
  </si>
  <si>
    <t xml:space="preserve"> -Субсидии бюджетам городских округов на государственную поддержку малого и среднего предпринимательства в субъектах Российской Федерации
( 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предпринимательства)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</si>
  <si>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</si>
  <si>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Иные межбюджетные трансферты</t>
  </si>
  <si>
    <t xml:space="preserve">2 02 40000 00 0000 150
</t>
  </si>
  <si>
    <t>фб 2024</t>
  </si>
  <si>
    <t>рх 2024</t>
  </si>
  <si>
    <t>Субсидии бюджетам городских округов на поддержку отрасли культуры</t>
  </si>
  <si>
    <t>2 02 25169 04 0000 150</t>
  </si>
  <si>
    <t xml:space="preserve"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</si>
  <si>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 xml:space="preserve">  -  субсидий бюджетам муниципальных образований Республики Хакасия  на обеспечение услугами связи в части предоставления широкополосного доступа к сети «Интернет» социально значимых объектов муниципальных образований на 2022 год
</t>
  </si>
  <si>
    <t>ГАД</t>
  </si>
  <si>
    <t xml:space="preserve">  +105+1006</t>
  </si>
  <si>
    <t>БФУ</t>
  </si>
  <si>
    <t>в бюджет муниципального образования город Саяногорск на 2022 -25 года (по 0 бюджету)</t>
  </si>
  <si>
    <t>2023 по 0 бюджету</t>
  </si>
  <si>
    <t>2024 по 0 бюджету</t>
  </si>
  <si>
    <t>2025 по 0 бюджету</t>
  </si>
  <si>
    <t>-субвенции на осуществление органами местного самоуправления государственных полномочий в сфере трудовых отношений</t>
  </si>
  <si>
    <t>субвенции на осуществление отдельных государственных полномочий по установлению регулируемых тарифов на перевозку пассажиров и багажа автомобильным транспортом и городским наземным эклектическим транспортом по муниципальным маршрутам регулируемых перевозок на территории РХ</t>
  </si>
  <si>
    <t>в бюджет муниципального образования город Саяногорск на 2023 -25 года (1 чтение)</t>
  </si>
  <si>
    <r>
      <t xml:space="preserve">2023 </t>
    </r>
    <r>
      <rPr>
        <b/>
        <sz val="11"/>
        <rFont val="Calibri"/>
        <family val="2"/>
        <charset val="204"/>
        <scheme val="minor"/>
      </rPr>
      <t>1 чтение</t>
    </r>
  </si>
  <si>
    <r>
      <t xml:space="preserve">2025 </t>
    </r>
    <r>
      <rPr>
        <b/>
        <sz val="11"/>
        <rFont val="Calibri"/>
        <family val="2"/>
        <charset val="204"/>
        <scheme val="minor"/>
      </rPr>
      <t>1 чтение</t>
    </r>
  </si>
  <si>
    <r>
      <t xml:space="preserve">2024 </t>
    </r>
    <r>
      <rPr>
        <b/>
        <sz val="11"/>
        <rFont val="Calibri"/>
        <family val="2"/>
        <charset val="204"/>
        <scheme val="minor"/>
      </rPr>
      <t>1 чтение</t>
    </r>
  </si>
  <si>
    <t>2 02 19999 04 0000 150</t>
  </si>
  <si>
    <t xml:space="preserve">-  прочие дотации бюджетам городских округов </t>
  </si>
  <si>
    <t>2 02 25393 04 0000 150</t>
  </si>
  <si>
    <t xml:space="preserve">Субсидии бюджетам городских округов на финансовое обеспечение дорожной деятельности в рамках реализации национального проекта "Безопасные качественные дороги"
</t>
  </si>
  <si>
    <t xml:space="preserve">  -  субсидий бюджетам муниципальных образований Республики Хакасия  на обеспечение услугами связи в части предоставления широкополосного доступа к сети «Интернет» социально значимых объектов муниципальных образований 
</t>
  </si>
  <si>
    <t xml:space="preserve"> - субсидии на подготовку документов территориального планирования правил землепользования и застройки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</si>
  <si>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</si>
  <si>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- субсидии на строительство, модернизацию и реконструкцию спортивных объектов муниципальной собственности </t>
  </si>
  <si>
    <t xml:space="preserve"> - субсидии на оказание адресной финансовой поддержки спортивным организациям, осуществляющим подготовку спортивного резерва</t>
  </si>
  <si>
    <t xml:space="preserve"> - субсидии на капитальный ремонт объектов муниципальной собственности в сфере физической культуры и спорта</t>
  </si>
  <si>
    <t>рх 2025</t>
  </si>
  <si>
    <t>фб 2025</t>
  </si>
  <si>
    <t>2 02 35120 04 0000 150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</si>
  <si>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</si>
  <si>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 xml:space="preserve">2 02 25187 04 0000 150
</t>
  </si>
  <si>
    <t xml:space="preserve">Субсидии бюджетам городских округов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
</t>
  </si>
  <si>
    <t>2 02 25098 04 0000 150</t>
  </si>
  <si>
    <t xml:space="preserve">2 02 25786 00 0000 150
</t>
  </si>
  <si>
    <t xml:space="preserve">Субсидии бюджетам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
</t>
  </si>
  <si>
    <t xml:space="preserve"> - субсидии на реализацию программ формирования современной городской среды</t>
  </si>
  <si>
    <t>2 02 25576 04 000 150</t>
  </si>
  <si>
    <t xml:space="preserve">Субсидии бюджетам городских округов на обеспечение комплексного развития сельских территорий
</t>
  </si>
  <si>
    <t xml:space="preserve"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</t>
  </si>
  <si>
    <t xml:space="preserve">в бюджет муниципального образования город Саяногорск на 2023 -25 года </t>
  </si>
  <si>
    <t>2023 (бюджет 2022г- 2024 г.)</t>
  </si>
  <si>
    <t>2023 (бюджет 2023г- 2025 г.)</t>
  </si>
  <si>
    <t xml:space="preserve">2 02 25786 04 0000 150
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</si>
  <si>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</si>
  <si>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 xml:space="preserve"> +  /     -</t>
  </si>
  <si>
    <t>2023 было</t>
  </si>
  <si>
    <t>2024 было</t>
  </si>
  <si>
    <t>работы на 2023 год</t>
  </si>
  <si>
    <t>18,5 млн.руб. ЧДШИ ремонт, 1,5 млн.руб. костюмы, муз. Оборудование, 0,5 млн.руб. ЦБС пополнение книжного фонда</t>
  </si>
  <si>
    <t>5 объектов отобранных по конкурсу</t>
  </si>
  <si>
    <t>те же 5 объектов отобранных по конкурсу</t>
  </si>
  <si>
    <t>строительство площадок ТКО в рп Майна</t>
  </si>
  <si>
    <t>1,7млн.руб.  -  Кнопки на ворота в школы, 2,3млн.руб. -  окна в школы, 4 млн. руб. - гараж для МСШ</t>
  </si>
  <si>
    <t>3,0 млн.руб. - д.с..№3 окна, канализация, 1,1млн.руб. -кнопки на выездные ворота в д.с., 0,9 млн.руб.-окна в д.с.№21</t>
  </si>
  <si>
    <t>ГСС "Юность"</t>
  </si>
  <si>
    <t>5,0 млн.руб. - строительство ком.сетей - бассейн,5,0 млн.руб. -строительство ком. Сетей - каток, 1,3 млн. руб. - строительство сетей к земельному участку на котором расположено предприятие по производству ДСП)</t>
  </si>
  <si>
    <t>4,5 млн.руб. ПСД реконструкции дороги г.Саяногорск автодороги г.Саяногорск - Калы - Сабинка до зем.участка р- он Урочища Ай - Дай, проф. Металлург., 30млн. Руб. - ремонт ул. Калинина рп Майна, ул.Ленина г.Саяногорск от ул.Успенская до ул. Шушенская(3 полосы с учетом работ ресурсоснабжающей организации)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</si>
  <si>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осуще-ствляющих образовательную деятельность по адаптированным основным общеобразовательным программам</t>
  </si>
  <si>
    <t xml:space="preserve">2 02 25172 04 0000 150
</t>
  </si>
  <si>
    <t xml:space="preserve">  -  субсидии бюджетам муниципальных образований Республики Хакасия  на обеспечение услугами связи в части предоставления широкополосного доступа к сети «Интернет» социально значимых объектов муниципальных образований 
</t>
  </si>
  <si>
    <t xml:space="preserve">  - субвенции на осуществление отдельных государственных полномочий по установлению регулируемых тарифов на перевозку пассажиров и багажа автомобильным транспортом и городским наземным электрическим транспортом по муниципальным маршрутам регулируемых перевозок на территории Республики Хакасия</t>
  </si>
  <si>
    <t xml:space="preserve"> - субсидии на мероприятия по обеспечению безопасности дорожного движения и снижению аварийности на автомобильных дорогах общего пользования местного значения Республики Хакасия и (или) искусственных сооружениях</t>
  </si>
  <si>
    <t xml:space="preserve"> -субвенции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</t>
  </si>
  <si>
    <t>2 02 25576 04 0000 150</t>
  </si>
  <si>
    <t xml:space="preserve"> -субсидии  на укрепление материально - технической базы муниципальных учреждений в сфере культуры</t>
  </si>
  <si>
    <t>2 02 15002 05 0000 150</t>
  </si>
  <si>
    <t xml:space="preserve">  -  дотации бюджетам муниципальных районов на поддержку мер по обеспечению сбалансированности бюджетов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</si>
  <si>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</si>
  <si>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</si>
  <si>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r>
      <t xml:space="preserve">2023 </t>
    </r>
    <r>
      <rPr>
        <b/>
        <sz val="11"/>
        <rFont val="Calibri"/>
        <family val="2"/>
        <charset val="204"/>
        <scheme val="minor"/>
      </rPr>
      <t>было</t>
    </r>
  </si>
  <si>
    <r>
      <t xml:space="preserve">2024 </t>
    </r>
    <r>
      <rPr>
        <b/>
        <sz val="11"/>
        <rFont val="Calibri"/>
        <family val="2"/>
        <charset val="204"/>
        <scheme val="minor"/>
      </rPr>
      <t>было</t>
    </r>
  </si>
  <si>
    <t>в бюджет муниципального образования город Саяногорск на 2023 -25 года (уточненные данные на 18.09.2023)</t>
  </si>
  <si>
    <t>фб 2024 ПРОЕКТ</t>
  </si>
  <si>
    <t>рх 2024 ПРОЕКТ</t>
  </si>
  <si>
    <t>фб 2025 ПРОЕКТ</t>
  </si>
  <si>
    <t>ФБ 2026 ПРОЕКТ</t>
  </si>
  <si>
    <t>РХ 2025 ПРОЕКТ</t>
  </si>
  <si>
    <t xml:space="preserve">2 02 15001 04 0000 150
</t>
  </si>
  <si>
    <t xml:space="preserve"> Дотации бюджетам городских округов на выравнивание бюджетной обеспеченности из бюджета субъекта Российской Федерации</t>
  </si>
  <si>
    <t>2 02 15002 04 0000 150</t>
  </si>
  <si>
    <t xml:space="preserve">  -  дотации бюджетам городских округов на поддержку мер по обеспечению сбалансированности бюджетов</t>
  </si>
  <si>
    <t xml:space="preserve"> - субсидии на обустройство (создание) мест (площадок) накопления отходов, в том числе твердых коммунальных отходов</t>
  </si>
  <si>
    <t>РХ 2026 ПРОЕКТ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</si>
  <si>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</si>
  <si>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</si>
  <si>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2 02 25171 04 0000 150
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</si>
  <si>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</si>
  <si>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реализацию мероприятий по обеспечению жильем молодых семей</t>
  </si>
  <si>
    <t xml:space="preserve"> - субсидии бюджетам муниципальных образований на осуществление деятельности по обращению с животными без владельцев</t>
  </si>
  <si>
    <t xml:space="preserve">  -  субсидии на разработку проектно-сметной документации на строительство объектов муниципальной собственности в сфере культуры</t>
  </si>
  <si>
    <t xml:space="preserve"> - субсидии на проведение ремонтных (восстановительных) работ памятников Великой Отечественной войны и благоустройство их территорий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</si>
  <si>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</si>
  <si>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</si>
  <si>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r>
      <rPr>
        <sz val="14"/>
        <rFont val="Calibri"/>
        <family val="2"/>
        <charset val="204"/>
        <scheme val="minor"/>
      </rPr>
      <t>2025</t>
    </r>
    <r>
      <rPr>
        <sz val="11"/>
        <rFont val="Calibri"/>
        <family val="2"/>
        <charset val="204"/>
        <scheme val="minor"/>
      </rPr>
      <t xml:space="preserve"> по проекту на 04.12.23</t>
    </r>
  </si>
  <si>
    <r>
      <rPr>
        <sz val="14"/>
        <rFont val="Calibri"/>
        <family val="2"/>
        <charset val="204"/>
        <scheme val="minor"/>
      </rPr>
      <t>2024</t>
    </r>
    <r>
      <rPr>
        <sz val="11"/>
        <rFont val="Calibri"/>
        <family val="2"/>
        <charset val="204"/>
        <scheme val="minor"/>
      </rPr>
      <t xml:space="preserve"> по проекту на 04.12.23</t>
    </r>
  </si>
  <si>
    <r>
      <rPr>
        <sz val="14"/>
        <rFont val="Calibri"/>
        <family val="2"/>
        <charset val="204"/>
        <scheme val="minor"/>
      </rPr>
      <t>2026</t>
    </r>
    <r>
      <rPr>
        <sz val="11"/>
        <rFont val="Calibri"/>
        <family val="2"/>
        <charset val="204"/>
        <scheme val="minor"/>
      </rPr>
      <t xml:space="preserve"> по проекту на 04.12.23</t>
    </r>
  </si>
  <si>
    <t>в бюджет муниципального образования город Саяногорск на 2024 -26 года (уточненные данные на 04.12.2023)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</si>
</sst>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00000"/>
    <numFmt numFmtId="166" formatCode="#,##0.000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b/>
      <sz val="11"/>
      <color rgb="FF00B05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9"/>
      <color rgb="FF00B050"/>
      <name val="Times New Roman"/>
      <family val="1"/>
      <charset val="204"/>
    </font>
    <font>
      <b/>
      <sz val="9"/>
      <color rgb="FF00B05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FF0000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6" fillId="0" borderId="4">
      <alignment horizontal="left" vertical="top" wrapText="1"/>
    </xf>
  </cellStyleXfs>
  <cellXfs count="286">
    <xf numFmtId="0" fontId="0" fillId="0" borderId="0" xfId="0"/>
    <xf numFmtId="0" fontId="1" fillId="0" borderId="1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top"/>
    </xf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" fontId="3" fillId="0" borderId="0" xfId="0" applyNumberFormat="1" applyFont="1"/>
    <xf numFmtId="0" fontId="2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5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64" fontId="5" fillId="3" borderId="1" xfId="0" applyNumberFormat="1" applyFont="1" applyFill="1" applyBorder="1" applyAlignment="1">
      <alignment horizontal="center" wrapText="1"/>
    </xf>
    <xf numFmtId="164" fontId="5" fillId="5" borderId="1" xfId="0" applyNumberFormat="1" applyFont="1" applyFill="1" applyBorder="1" applyAlignment="1">
      <alignment horizontal="center" wrapText="1"/>
    </xf>
    <xf numFmtId="164" fontId="4" fillId="5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right"/>
    </xf>
    <xf numFmtId="164" fontId="6" fillId="0" borderId="1" xfId="0" applyNumberFormat="1" applyFont="1" applyBorder="1"/>
    <xf numFmtId="164" fontId="3" fillId="0" borderId="0" xfId="0" applyNumberFormat="1" applyFont="1"/>
    <xf numFmtId="4" fontId="5" fillId="3" borderId="1" xfId="0" applyNumberFormat="1" applyFont="1" applyFill="1" applyBorder="1" applyAlignment="1">
      <alignment horizontal="center" wrapText="1"/>
    </xf>
    <xf numFmtId="4" fontId="5" fillId="5" borderId="1" xfId="0" applyNumberFormat="1" applyFont="1" applyFill="1" applyBorder="1" applyAlignment="1">
      <alignment horizontal="center" wrapText="1"/>
    </xf>
    <xf numFmtId="4" fontId="4" fillId="5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/>
    <xf numFmtId="49" fontId="4" fillId="5" borderId="1" xfId="0" applyNumberFormat="1" applyFont="1" applyFill="1" applyBorder="1" applyAlignment="1">
      <alignment vertical="top" wrapText="1"/>
    </xf>
    <xf numFmtId="164" fontId="4" fillId="3" borderId="1" xfId="0" applyNumberFormat="1" applyFont="1" applyFill="1" applyBorder="1" applyAlignment="1">
      <alignment horizontal="right"/>
    </xf>
    <xf numFmtId="4" fontId="4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/>
    <xf numFmtId="164" fontId="4" fillId="0" borderId="1" xfId="0" applyNumberFormat="1" applyFont="1" applyBorder="1"/>
    <xf numFmtId="4" fontId="4" fillId="0" borderId="1" xfId="0" applyNumberFormat="1" applyFont="1" applyBorder="1"/>
    <xf numFmtId="0" fontId="4" fillId="0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4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top" wrapText="1"/>
    </xf>
    <xf numFmtId="4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6" fillId="3" borderId="1" xfId="0" applyNumberFormat="1" applyFont="1" applyFill="1" applyBorder="1"/>
    <xf numFmtId="4" fontId="6" fillId="3" borderId="1" xfId="0" applyNumberFormat="1" applyFont="1" applyFill="1" applyBorder="1"/>
    <xf numFmtId="4" fontId="3" fillId="3" borderId="0" xfId="0" applyNumberFormat="1" applyFont="1" applyFill="1"/>
    <xf numFmtId="49" fontId="4" fillId="3" borderId="1" xfId="0" applyNumberFormat="1" applyFont="1" applyFill="1" applyBorder="1" applyAlignment="1">
      <alignment vertical="top" wrapText="1"/>
    </xf>
    <xf numFmtId="4" fontId="7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164" fontId="4" fillId="3" borderId="1" xfId="0" applyNumberFormat="1" applyFont="1" applyFill="1" applyBorder="1" applyAlignment="1">
      <alignment horizontal="center" wrapText="1"/>
    </xf>
    <xf numFmtId="4" fontId="4" fillId="3" borderId="1" xfId="0" applyNumberFormat="1" applyFont="1" applyFill="1" applyBorder="1" applyAlignment="1">
      <alignment horizontal="center" wrapText="1"/>
    </xf>
    <xf numFmtId="164" fontId="5" fillId="5" borderId="0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3" fillId="0" borderId="1" xfId="0" applyNumberFormat="1" applyFont="1" applyBorder="1"/>
    <xf numFmtId="4" fontId="3" fillId="0" borderId="1" xfId="0" applyNumberFormat="1" applyFont="1" applyBorder="1"/>
    <xf numFmtId="0" fontId="4" fillId="0" borderId="0" xfId="0" applyFont="1" applyAlignment="1">
      <alignment wrapText="1"/>
    </xf>
    <xf numFmtId="4" fontId="3" fillId="0" borderId="1" xfId="0" applyNumberFormat="1" applyFont="1" applyBorder="1" applyAlignment="1">
      <alignment horizontal="center"/>
    </xf>
    <xf numFmtId="4" fontId="3" fillId="3" borderId="1" xfId="0" applyNumberFormat="1" applyFont="1" applyFill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/>
    </xf>
    <xf numFmtId="4" fontId="9" fillId="3" borderId="1" xfId="0" applyNumberFormat="1" applyFont="1" applyFill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3" borderId="1" xfId="0" applyNumberFormat="1" applyFont="1" applyFill="1" applyBorder="1" applyAlignment="1">
      <alignment horizontal="center"/>
    </xf>
    <xf numFmtId="4" fontId="9" fillId="0" borderId="1" xfId="0" applyNumberFormat="1" applyFont="1" applyBorder="1"/>
    <xf numFmtId="4" fontId="10" fillId="3" borderId="1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vertical="top" wrapText="1"/>
    </xf>
    <xf numFmtId="164" fontId="4" fillId="6" borderId="1" xfId="0" applyNumberFormat="1" applyFont="1" applyFill="1" applyBorder="1" applyAlignment="1">
      <alignment horizontal="center" wrapText="1"/>
    </xf>
    <xf numFmtId="4" fontId="4" fillId="6" borderId="1" xfId="0" applyNumberFormat="1" applyFont="1" applyFill="1" applyBorder="1" applyAlignment="1">
      <alignment horizontal="center" wrapText="1"/>
    </xf>
    <xf numFmtId="4" fontId="3" fillId="6" borderId="0" xfId="0" applyNumberFormat="1" applyFont="1" applyFill="1"/>
    <xf numFmtId="4" fontId="3" fillId="6" borderId="1" xfId="0" applyNumberFormat="1" applyFont="1" applyFill="1" applyBorder="1" applyAlignment="1">
      <alignment horizontal="center"/>
    </xf>
    <xf numFmtId="4" fontId="3" fillId="6" borderId="1" xfId="0" applyNumberFormat="1" applyFont="1" applyFill="1" applyBorder="1"/>
    <xf numFmtId="0" fontId="12" fillId="5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top" wrapText="1"/>
    </xf>
    <xf numFmtId="165" fontId="13" fillId="0" borderId="1" xfId="0" applyNumberFormat="1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vertical="top" wrapText="1"/>
    </xf>
    <xf numFmtId="165" fontId="12" fillId="3" borderId="1" xfId="0" applyNumberFormat="1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/>
    </xf>
    <xf numFmtId="4" fontId="3" fillId="4" borderId="0" xfId="0" applyNumberFormat="1" applyFont="1" applyFill="1"/>
    <xf numFmtId="4" fontId="3" fillId="4" borderId="1" xfId="0" applyNumberFormat="1" applyFont="1" applyFill="1" applyBorder="1"/>
    <xf numFmtId="4" fontId="9" fillId="4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14" fillId="0" borderId="0" xfId="0" applyFont="1" applyAlignment="1">
      <alignment wrapText="1"/>
    </xf>
    <xf numFmtId="0" fontId="15" fillId="0" borderId="0" xfId="0" applyFont="1"/>
    <xf numFmtId="0" fontId="3" fillId="7" borderId="0" xfId="0" applyFont="1" applyFill="1"/>
    <xf numFmtId="4" fontId="3" fillId="7" borderId="0" xfId="0" applyNumberFormat="1" applyFont="1" applyFill="1" applyAlignment="1">
      <alignment horizontal="center"/>
    </xf>
    <xf numFmtId="4" fontId="7" fillId="7" borderId="0" xfId="0" applyNumberFormat="1" applyFont="1" applyFill="1" applyAlignment="1">
      <alignment horizontal="center"/>
    </xf>
    <xf numFmtId="4" fontId="3" fillId="7" borderId="1" xfId="0" applyNumberFormat="1" applyFont="1" applyFill="1" applyBorder="1"/>
    <xf numFmtId="164" fontId="3" fillId="0" borderId="3" xfId="0" applyNumberFormat="1" applyFont="1" applyBorder="1"/>
    <xf numFmtId="0" fontId="3" fillId="7" borderId="3" xfId="0" applyFont="1" applyFill="1" applyBorder="1"/>
    <xf numFmtId="4" fontId="3" fillId="0" borderId="2" xfId="0" applyNumberFormat="1" applyFont="1" applyBorder="1"/>
    <xf numFmtId="4" fontId="3" fillId="7" borderId="2" xfId="0" applyNumberFormat="1" applyFont="1" applyFill="1" applyBorder="1"/>
    <xf numFmtId="4" fontId="5" fillId="7" borderId="1" xfId="0" applyNumberFormat="1" applyFont="1" applyFill="1" applyBorder="1" applyAlignment="1">
      <alignment horizontal="center" wrapText="1"/>
    </xf>
    <xf numFmtId="4" fontId="3" fillId="7" borderId="1" xfId="0" applyNumberFormat="1" applyFont="1" applyFill="1" applyBorder="1" applyAlignment="1">
      <alignment horizontal="center"/>
    </xf>
    <xf numFmtId="4" fontId="5" fillId="7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left" wrapText="1"/>
    </xf>
    <xf numFmtId="164" fontId="3" fillId="5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top" wrapText="1"/>
    </xf>
    <xf numFmtId="4" fontId="3" fillId="5" borderId="0" xfId="0" applyNumberFormat="1" applyFont="1" applyFill="1"/>
    <xf numFmtId="0" fontId="1" fillId="5" borderId="1" xfId="0" applyFont="1" applyFill="1" applyBorder="1" applyAlignment="1">
      <alignment horizontal="justify" vertical="top" wrapText="1"/>
    </xf>
    <xf numFmtId="165" fontId="4" fillId="5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left" wrapText="1"/>
    </xf>
    <xf numFmtId="0" fontId="4" fillId="5" borderId="0" xfId="0" applyFont="1" applyFill="1" applyAlignment="1">
      <alignment wrapText="1"/>
    </xf>
    <xf numFmtId="164" fontId="4" fillId="5" borderId="1" xfId="0" applyNumberFormat="1" applyFont="1" applyFill="1" applyBorder="1" applyAlignment="1">
      <alignment horizontal="right"/>
    </xf>
    <xf numFmtId="164" fontId="6" fillId="5" borderId="1" xfId="0" applyNumberFormat="1" applyFont="1" applyFill="1" applyBorder="1"/>
    <xf numFmtId="4" fontId="6" fillId="5" borderId="1" xfId="0" applyNumberFormat="1" applyFont="1" applyFill="1" applyBorder="1"/>
    <xf numFmtId="164" fontId="4" fillId="5" borderId="0" xfId="0" applyNumberFormat="1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wrapText="1"/>
    </xf>
    <xf numFmtId="0" fontId="3" fillId="8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166" fontId="4" fillId="5" borderId="1" xfId="0" applyNumberFormat="1" applyFont="1" applyFill="1" applyBorder="1" applyAlignment="1">
      <alignment horizontal="center" wrapText="1"/>
    </xf>
    <xf numFmtId="166" fontId="3" fillId="5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top"/>
    </xf>
    <xf numFmtId="164" fontId="4" fillId="5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top"/>
    </xf>
    <xf numFmtId="166" fontId="4" fillId="5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vertical="top" wrapText="1"/>
    </xf>
    <xf numFmtId="4" fontId="4" fillId="8" borderId="1" xfId="0" applyNumberFormat="1" applyFont="1" applyFill="1" applyBorder="1" applyAlignment="1">
      <alignment horizontal="center" wrapText="1"/>
    </xf>
    <xf numFmtId="4" fontId="4" fillId="8" borderId="1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left" wrapText="1"/>
    </xf>
    <xf numFmtId="164" fontId="4" fillId="5" borderId="1" xfId="0" applyNumberFormat="1" applyFont="1" applyFill="1" applyBorder="1" applyAlignment="1">
      <alignment horizontal="center"/>
    </xf>
    <xf numFmtId="166" fontId="4" fillId="5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vertical="top" wrapText="1"/>
    </xf>
    <xf numFmtId="4" fontId="4" fillId="5" borderId="1" xfId="0" applyNumberFormat="1" applyFont="1" applyFill="1" applyBorder="1" applyAlignment="1">
      <alignment horizontal="center"/>
    </xf>
    <xf numFmtId="49" fontId="18" fillId="5" borderId="1" xfId="0" applyNumberFormat="1" applyFont="1" applyFill="1" applyBorder="1" applyAlignment="1">
      <alignment vertical="top" wrapText="1"/>
    </xf>
    <xf numFmtId="0" fontId="18" fillId="5" borderId="1" xfId="0" applyFont="1" applyFill="1" applyBorder="1" applyAlignment="1">
      <alignment vertical="top" wrapText="1"/>
    </xf>
    <xf numFmtId="4" fontId="10" fillId="7" borderId="1" xfId="0" applyNumberFormat="1" applyFont="1" applyFill="1" applyBorder="1" applyAlignment="1">
      <alignment horizontal="center"/>
    </xf>
    <xf numFmtId="4" fontId="9" fillId="7" borderId="1" xfId="0" applyNumberFormat="1" applyFont="1" applyFill="1" applyBorder="1" applyAlignment="1">
      <alignment horizontal="center"/>
    </xf>
    <xf numFmtId="4" fontId="9" fillId="7" borderId="1" xfId="0" applyNumberFormat="1" applyFont="1" applyFill="1" applyBorder="1"/>
    <xf numFmtId="4" fontId="5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4" fontId="3" fillId="8" borderId="1" xfId="0" applyNumberFormat="1" applyFont="1" applyFill="1" applyBorder="1" applyAlignment="1">
      <alignment horizontal="center"/>
    </xf>
    <xf numFmtId="4" fontId="17" fillId="7" borderId="1" xfId="0" applyNumberFormat="1" applyFont="1" applyFill="1" applyBorder="1"/>
    <xf numFmtId="4" fontId="7" fillId="7" borderId="1" xfId="0" applyNumberFormat="1" applyFont="1" applyFill="1" applyBorder="1" applyAlignment="1">
      <alignment horizontal="center"/>
    </xf>
    <xf numFmtId="4" fontId="3" fillId="5" borderId="2" xfId="0" applyNumberFormat="1" applyFont="1" applyFill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4" fontId="3" fillId="7" borderId="0" xfId="0" applyNumberFormat="1" applyFont="1" applyFill="1"/>
    <xf numFmtId="4" fontId="9" fillId="0" borderId="0" xfId="0" applyNumberFormat="1" applyFont="1"/>
    <xf numFmtId="4" fontId="7" fillId="7" borderId="2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/>
    </xf>
    <xf numFmtId="0" fontId="4" fillId="5" borderId="1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center" vertical="top"/>
    </xf>
    <xf numFmtId="0" fontId="4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/>
    </xf>
    <xf numFmtId="0" fontId="4" fillId="5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/>
    </xf>
    <xf numFmtId="0" fontId="7" fillId="0" borderId="0" xfId="0" applyFont="1"/>
    <xf numFmtId="4" fontId="7" fillId="0" borderId="1" xfId="0" applyNumberFormat="1" applyFont="1" applyBorder="1"/>
    <xf numFmtId="3" fontId="7" fillId="0" borderId="1" xfId="0" applyNumberFormat="1" applyFont="1" applyBorder="1"/>
    <xf numFmtId="3" fontId="7" fillId="0" borderId="3" xfId="0" applyNumberFormat="1" applyFont="1" applyBorder="1" applyAlignment="1">
      <alignment horizontal="center"/>
    </xf>
    <xf numFmtId="0" fontId="1" fillId="5" borderId="1" xfId="0" applyFont="1" applyFill="1" applyBorder="1" applyAlignment="1">
      <alignment horizontal="center" vertical="top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4" fontId="3" fillId="8" borderId="0" xfId="0" applyNumberFormat="1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 wrapText="1"/>
    </xf>
    <xf numFmtId="3" fontId="7" fillId="3" borderId="1" xfId="0" applyNumberFormat="1" applyFont="1" applyFill="1" applyBorder="1"/>
    <xf numFmtId="4" fontId="9" fillId="8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" fillId="4" borderId="1" xfId="0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" fillId="3" borderId="1" xfId="0" applyFont="1" applyFill="1" applyBorder="1" applyAlignment="1">
      <alignment horizontal="center" vertical="top" wrapText="1"/>
    </xf>
    <xf numFmtId="166" fontId="3" fillId="3" borderId="1" xfId="0" applyNumberFormat="1" applyFont="1" applyFill="1" applyBorder="1" applyAlignment="1">
      <alignment horizontal="center"/>
    </xf>
    <xf numFmtId="4" fontId="19" fillId="8" borderId="1" xfId="0" applyNumberFormat="1" applyFont="1" applyFill="1" applyBorder="1" applyAlignment="1">
      <alignment horizontal="center"/>
    </xf>
    <xf numFmtId="4" fontId="19" fillId="3" borderId="1" xfId="0" applyNumberFormat="1" applyFont="1" applyFill="1" applyBorder="1" applyAlignment="1">
      <alignment horizontal="center"/>
    </xf>
    <xf numFmtId="4" fontId="10" fillId="7" borderId="0" xfId="0" applyNumberFormat="1" applyFont="1" applyFill="1" applyAlignment="1">
      <alignment horizontal="center"/>
    </xf>
    <xf numFmtId="4" fontId="12" fillId="8" borderId="1" xfId="0" applyNumberFormat="1" applyFont="1" applyFill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" fillId="4" borderId="1" xfId="0" applyFont="1" applyFill="1" applyBorder="1" applyAlignment="1">
      <alignment horizontal="center" vertical="top"/>
    </xf>
    <xf numFmtId="0" fontId="11" fillId="0" borderId="0" xfId="0" applyFont="1" applyBorder="1" applyAlignment="1">
      <alignment horizontal="center"/>
    </xf>
    <xf numFmtId="0" fontId="3" fillId="5" borderId="0" xfId="0" applyFont="1" applyFill="1"/>
    <xf numFmtId="0" fontId="3" fillId="5" borderId="3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 wrapText="1"/>
    </xf>
    <xf numFmtId="164" fontId="3" fillId="5" borderId="3" xfId="0" applyNumberFormat="1" applyFont="1" applyFill="1" applyBorder="1"/>
    <xf numFmtId="0" fontId="3" fillId="5" borderId="3" xfId="0" applyFont="1" applyFill="1" applyBorder="1"/>
    <xf numFmtId="4" fontId="3" fillId="5" borderId="1" xfId="0" applyNumberFormat="1" applyFont="1" applyFill="1" applyBorder="1"/>
    <xf numFmtId="4" fontId="3" fillId="5" borderId="1" xfId="0" applyNumberFormat="1" applyFont="1" applyFill="1" applyBorder="1" applyAlignment="1">
      <alignment horizontal="center"/>
    </xf>
    <xf numFmtId="3" fontId="3" fillId="5" borderId="1" xfId="0" applyNumberFormat="1" applyFont="1" applyFill="1" applyBorder="1"/>
    <xf numFmtId="0" fontId="1" fillId="5" borderId="1" xfId="0" applyFont="1" applyFill="1" applyBorder="1" applyAlignment="1">
      <alignment horizontal="left" vertical="top" wrapText="1"/>
    </xf>
    <xf numFmtId="3" fontId="3" fillId="5" borderId="3" xfId="0" applyNumberFormat="1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4" fontId="3" fillId="5" borderId="2" xfId="0" applyNumberFormat="1" applyFont="1" applyFill="1" applyBorder="1"/>
    <xf numFmtId="0" fontId="3" fillId="0" borderId="1" xfId="0" applyFont="1" applyBorder="1" applyAlignment="1">
      <alignment wrapText="1"/>
    </xf>
    <xf numFmtId="0" fontId="7" fillId="5" borderId="0" xfId="0" applyFont="1" applyFill="1"/>
    <xf numFmtId="0" fontId="7" fillId="5" borderId="1" xfId="0" applyFont="1" applyFill="1" applyBorder="1" applyAlignment="1">
      <alignment horizontal="center"/>
    </xf>
    <xf numFmtId="4" fontId="7" fillId="5" borderId="1" xfId="0" applyNumberFormat="1" applyFont="1" applyFill="1" applyBorder="1"/>
    <xf numFmtId="3" fontId="7" fillId="5" borderId="1" xfId="0" applyNumberFormat="1" applyFont="1" applyFill="1" applyBorder="1"/>
    <xf numFmtId="0" fontId="4" fillId="5" borderId="0" xfId="0" applyFont="1" applyFill="1" applyBorder="1" applyAlignment="1">
      <alignment wrapText="1"/>
    </xf>
    <xf numFmtId="4" fontId="5" fillId="5" borderId="1" xfId="0" applyNumberFormat="1" applyFont="1" applyFill="1" applyBorder="1" applyAlignment="1">
      <alignment horizontal="center"/>
    </xf>
    <xf numFmtId="164" fontId="3" fillId="5" borderId="0" xfId="0" applyNumberFormat="1" applyFont="1" applyFill="1"/>
    <xf numFmtId="4" fontId="3" fillId="5" borderId="0" xfId="0" applyNumberFormat="1" applyFont="1" applyFill="1" applyAlignment="1">
      <alignment horizontal="center"/>
    </xf>
    <xf numFmtId="4" fontId="7" fillId="5" borderId="0" xfId="0" applyNumberFormat="1" applyFont="1" applyFill="1" applyAlignment="1">
      <alignment horizontal="center"/>
    </xf>
    <xf numFmtId="4" fontId="6" fillId="5" borderId="1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/>
    </xf>
    <xf numFmtId="164" fontId="1" fillId="5" borderId="1" xfId="0" applyNumberFormat="1" applyFont="1" applyFill="1" applyBorder="1"/>
    <xf numFmtId="164" fontId="4" fillId="5" borderId="1" xfId="0" applyNumberFormat="1" applyFont="1" applyFill="1" applyBorder="1"/>
    <xf numFmtId="4" fontId="4" fillId="5" borderId="1" xfId="0" applyNumberFormat="1" applyFont="1" applyFill="1" applyBorder="1"/>
    <xf numFmtId="0" fontId="11" fillId="5" borderId="0" xfId="0" applyFont="1" applyFill="1" applyAlignment="1">
      <alignment horizontal="center"/>
    </xf>
    <xf numFmtId="0" fontId="11" fillId="5" borderId="0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top"/>
    </xf>
    <xf numFmtId="0" fontId="5" fillId="5" borderId="1" xfId="0" applyFont="1" applyFill="1" applyBorder="1" applyAlignment="1">
      <alignment vertical="top" wrapText="1"/>
    </xf>
    <xf numFmtId="166" fontId="5" fillId="5" borderId="1" xfId="0" applyNumberFormat="1" applyFont="1" applyFill="1" applyBorder="1" applyAlignment="1">
      <alignment horizontal="center" wrapText="1"/>
    </xf>
    <xf numFmtId="4" fontId="7" fillId="5" borderId="1" xfId="0" applyNumberFormat="1" applyFont="1" applyFill="1" applyBorder="1" applyAlignment="1">
      <alignment horizontal="center"/>
    </xf>
    <xf numFmtId="49" fontId="5" fillId="5" borderId="1" xfId="0" applyNumberFormat="1" applyFont="1" applyFill="1" applyBorder="1" applyAlignment="1">
      <alignment vertical="top" wrapText="1"/>
    </xf>
    <xf numFmtId="164" fontId="5" fillId="5" borderId="1" xfId="0" applyNumberFormat="1" applyFont="1" applyFill="1" applyBorder="1" applyAlignment="1">
      <alignment horizontal="center"/>
    </xf>
    <xf numFmtId="166" fontId="5" fillId="5" borderId="1" xfId="0" applyNumberFormat="1" applyFont="1" applyFill="1" applyBorder="1" applyAlignment="1">
      <alignment horizontal="center"/>
    </xf>
    <xf numFmtId="4" fontId="7" fillId="5" borderId="0" xfId="0" applyNumberFormat="1" applyFont="1" applyFill="1"/>
    <xf numFmtId="164" fontId="8" fillId="5" borderId="1" xfId="0" applyNumberFormat="1" applyFont="1" applyFill="1" applyBorder="1"/>
    <xf numFmtId="4" fontId="8" fillId="5" borderId="1" xfId="0" applyNumberFormat="1" applyFont="1" applyFill="1" applyBorder="1"/>
    <xf numFmtId="164" fontId="7" fillId="5" borderId="1" xfId="0" applyNumberFormat="1" applyFont="1" applyFill="1" applyBorder="1" applyAlignment="1">
      <alignment horizontal="center"/>
    </xf>
    <xf numFmtId="166" fontId="7" fillId="5" borderId="1" xfId="0" applyNumberFormat="1" applyFont="1" applyFill="1" applyBorder="1" applyAlignment="1">
      <alignment horizontal="center"/>
    </xf>
    <xf numFmtId="4" fontId="7" fillId="5" borderId="2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justify" vertical="top" wrapText="1"/>
    </xf>
    <xf numFmtId="0" fontId="4" fillId="5" borderId="3" xfId="0" applyFont="1" applyFill="1" applyBorder="1" applyAlignment="1">
      <alignment horizontal="center"/>
    </xf>
    <xf numFmtId="0" fontId="4" fillId="5" borderId="3" xfId="0" applyFont="1" applyFill="1" applyBorder="1" applyAlignment="1">
      <alignment wrapText="1"/>
    </xf>
    <xf numFmtId="164" fontId="6" fillId="5" borderId="3" xfId="0" applyNumberFormat="1" applyFont="1" applyFill="1" applyBorder="1"/>
    <xf numFmtId="4" fontId="6" fillId="5" borderId="3" xfId="0" applyNumberFormat="1" applyFont="1" applyFill="1" applyBorder="1"/>
    <xf numFmtId="164" fontId="3" fillId="5" borderId="3" xfId="0" applyNumberFormat="1" applyFont="1" applyFill="1" applyBorder="1" applyAlignment="1">
      <alignment horizontal="center"/>
    </xf>
    <xf numFmtId="4" fontId="3" fillId="5" borderId="5" xfId="0" applyNumberFormat="1" applyFont="1" applyFill="1" applyBorder="1" applyAlignment="1">
      <alignment horizontal="center"/>
    </xf>
    <xf numFmtId="4" fontId="4" fillId="5" borderId="3" xfId="0" applyNumberFormat="1" applyFont="1" applyFill="1" applyBorder="1" applyAlignment="1">
      <alignment horizontal="center" wrapText="1"/>
    </xf>
    <xf numFmtId="4" fontId="3" fillId="5" borderId="0" xfId="0" applyNumberFormat="1" applyFont="1" applyFill="1" applyBorder="1" applyAlignment="1">
      <alignment horizontal="center"/>
    </xf>
    <xf numFmtId="3" fontId="7" fillId="5" borderId="0" xfId="0" applyNumberFormat="1" applyFont="1" applyFill="1"/>
    <xf numFmtId="4" fontId="3" fillId="5" borderId="5" xfId="0" applyNumberFormat="1" applyFont="1" applyFill="1" applyBorder="1"/>
    <xf numFmtId="0" fontId="20" fillId="5" borderId="3" xfId="0" applyFont="1" applyFill="1" applyBorder="1" applyAlignment="1">
      <alignment horizontal="center" wrapText="1"/>
    </xf>
    <xf numFmtId="0" fontId="20" fillId="5" borderId="3" xfId="0" applyFont="1" applyFill="1" applyBorder="1" applyAlignment="1">
      <alignment horizontal="center"/>
    </xf>
    <xf numFmtId="0" fontId="3" fillId="0" borderId="0" xfId="0" applyFont="1" applyFill="1"/>
    <xf numFmtId="0" fontId="3" fillId="0" borderId="3" xfId="0" applyFont="1" applyFill="1" applyBorder="1"/>
    <xf numFmtId="4" fontId="3" fillId="0" borderId="1" xfId="0" applyNumberFormat="1" applyFont="1" applyFill="1" applyBorder="1" applyAlignment="1">
      <alignment horizontal="center"/>
    </xf>
    <xf numFmtId="4" fontId="3" fillId="0" borderId="5" xfId="0" applyNumberFormat="1" applyFont="1" applyFill="1" applyBorder="1"/>
    <xf numFmtId="4" fontId="3" fillId="0" borderId="1" xfId="0" applyNumberFormat="1" applyFont="1" applyFill="1" applyBorder="1"/>
    <xf numFmtId="4" fontId="3" fillId="0" borderId="0" xfId="0" applyNumberFormat="1" applyFont="1" applyFill="1"/>
    <xf numFmtId="4" fontId="3" fillId="0" borderId="0" xfId="0" applyNumberFormat="1" applyFont="1" applyFill="1" applyAlignment="1">
      <alignment horizontal="center"/>
    </xf>
    <xf numFmtId="4" fontId="7" fillId="0" borderId="0" xfId="0" applyNumberFormat="1" applyFont="1" applyFill="1" applyAlignment="1">
      <alignment horizontal="center"/>
    </xf>
    <xf numFmtId="3" fontId="21" fillId="5" borderId="1" xfId="0" applyNumberFormat="1" applyFont="1" applyFill="1" applyBorder="1"/>
    <xf numFmtId="164" fontId="3" fillId="0" borderId="3" xfId="0" applyNumberFormat="1" applyFont="1" applyFill="1" applyBorder="1"/>
    <xf numFmtId="0" fontId="18" fillId="5" borderId="1" xfId="0" applyFont="1" applyFill="1" applyBorder="1" applyAlignment="1">
      <alignment horizontal="left" wrapText="1"/>
    </xf>
    <xf numFmtId="4" fontId="13" fillId="0" borderId="1" xfId="0" applyNumberFormat="1" applyFont="1" applyFill="1" applyBorder="1" applyAlignment="1">
      <alignment horizontal="center" wrapText="1"/>
    </xf>
    <xf numFmtId="4" fontId="12" fillId="3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/>
    </xf>
    <xf numFmtId="4" fontId="9" fillId="5" borderId="1" xfId="0" applyNumberFormat="1" applyFont="1" applyFill="1" applyBorder="1" applyAlignment="1">
      <alignment horizontal="center"/>
    </xf>
    <xf numFmtId="4" fontId="9" fillId="0" borderId="1" xfId="0" applyNumberFormat="1" applyFont="1" applyFill="1" applyBorder="1"/>
    <xf numFmtId="4" fontId="9" fillId="3" borderId="1" xfId="0" applyNumberFormat="1" applyFont="1" applyFill="1" applyBorder="1"/>
    <xf numFmtId="4" fontId="9" fillId="5" borderId="1" xfId="0" applyNumberFormat="1" applyFont="1" applyFill="1" applyBorder="1"/>
    <xf numFmtId="4" fontId="9" fillId="0" borderId="2" xfId="0" applyNumberFormat="1" applyFont="1" applyFill="1" applyBorder="1"/>
    <xf numFmtId="3" fontId="10" fillId="5" borderId="1" xfId="0" applyNumberFormat="1" applyFont="1" applyFill="1" applyBorder="1"/>
    <xf numFmtId="3" fontId="10" fillId="3" borderId="1" xfId="0" applyNumberFormat="1" applyFont="1" applyFill="1" applyBorder="1"/>
    <xf numFmtId="4" fontId="3" fillId="3" borderId="1" xfId="0" applyNumberFormat="1" applyFont="1" applyFill="1" applyBorder="1"/>
    <xf numFmtId="4" fontId="5" fillId="2" borderId="1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" fillId="4" borderId="1" xfId="0" applyFont="1" applyFill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1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11" fillId="5" borderId="0" xfId="0" applyFont="1" applyFill="1" applyAlignment="1">
      <alignment horizontal="center"/>
    </xf>
    <xf numFmtId="0" fontId="11" fillId="5" borderId="0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0" fontId="20" fillId="0" borderId="3" xfId="0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wrapText="1"/>
    </xf>
  </cellXfs>
  <cellStyles count="2">
    <cellStyle name="xl3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U67"/>
  <sheetViews>
    <sheetView workbookViewId="0">
      <pane xSplit="7" ySplit="4" topLeftCell="H29" activePane="bottomRight" state="frozen"/>
      <selection pane="topRight" activeCell="H1" sqref="H1"/>
      <selection pane="bottomLeft" activeCell="A5" sqref="A5"/>
      <selection pane="bottomRight" sqref="A1:H54"/>
    </sheetView>
  </sheetViews>
  <sheetFormatPr defaultColWidth="8.88671875" defaultRowHeight="14.4" x14ac:dyDescent="0.3"/>
  <cols>
    <col min="1" max="1" width="23" style="3" customWidth="1"/>
    <col min="2" max="2" width="55.109375" style="3" customWidth="1"/>
    <col min="3" max="3" width="17.88671875" style="3" hidden="1" customWidth="1"/>
    <col min="4" max="4" width="16.109375" style="3" hidden="1" customWidth="1"/>
    <col min="5" max="5" width="18.5546875" style="3" hidden="1" customWidth="1"/>
    <col min="6" max="6" width="11.6640625" style="3" hidden="1" customWidth="1"/>
    <col min="7" max="7" width="11" style="3" hidden="1" customWidth="1"/>
    <col min="8" max="10" width="14.33203125" style="3" customWidth="1"/>
    <col min="11" max="14" width="14.33203125" style="3" hidden="1" customWidth="1"/>
    <col min="15" max="15" width="8.88671875" style="3"/>
    <col min="16" max="16" width="13.109375" style="3" customWidth="1"/>
    <col min="17" max="17" width="14.6640625" style="3" customWidth="1"/>
    <col min="18" max="18" width="13.109375" style="3" customWidth="1"/>
    <col min="19" max="19" width="15.33203125" style="3" customWidth="1"/>
    <col min="20" max="20" width="13.109375" style="3" customWidth="1"/>
    <col min="21" max="21" width="15.33203125" style="3" customWidth="1"/>
    <col min="22" max="16384" width="8.88671875" style="3"/>
  </cols>
  <sheetData>
    <row r="1" spans="1:21" ht="12" customHeight="1" x14ac:dyDescent="0.3">
      <c r="A1" s="272" t="s">
        <v>0</v>
      </c>
      <c r="B1" s="272"/>
      <c r="C1" s="272"/>
      <c r="D1" s="272"/>
      <c r="E1" s="272"/>
    </row>
    <row r="2" spans="1:21" ht="12" customHeight="1" x14ac:dyDescent="0.3">
      <c r="A2" s="272" t="s">
        <v>1</v>
      </c>
      <c r="B2" s="272"/>
      <c r="C2" s="272"/>
      <c r="D2" s="272"/>
      <c r="E2" s="272"/>
    </row>
    <row r="3" spans="1:21" ht="12" customHeight="1" x14ac:dyDescent="0.3">
      <c r="A3" s="272" t="s">
        <v>110</v>
      </c>
      <c r="B3" s="272"/>
      <c r="C3" s="272"/>
      <c r="D3" s="272"/>
      <c r="E3" s="272"/>
      <c r="P3" s="3" t="s">
        <v>96</v>
      </c>
    </row>
    <row r="4" spans="1:21" ht="27" x14ac:dyDescent="0.3">
      <c r="A4" s="4" t="s">
        <v>74</v>
      </c>
      <c r="B4" s="4" t="s">
        <v>2</v>
      </c>
      <c r="C4" s="4" t="s">
        <v>34</v>
      </c>
      <c r="D4" s="5" t="s">
        <v>17</v>
      </c>
      <c r="E4" s="5" t="s">
        <v>35</v>
      </c>
      <c r="H4" s="48" t="s">
        <v>90</v>
      </c>
      <c r="I4" s="48" t="s">
        <v>97</v>
      </c>
      <c r="J4" s="48" t="s">
        <v>91</v>
      </c>
      <c r="K4" s="48" t="s">
        <v>92</v>
      </c>
      <c r="L4" s="48" t="s">
        <v>93</v>
      </c>
      <c r="M4" s="48" t="s">
        <v>94</v>
      </c>
      <c r="N4" s="48" t="s">
        <v>95</v>
      </c>
      <c r="P4" s="62" t="s">
        <v>79</v>
      </c>
      <c r="Q4" s="8" t="s">
        <v>80</v>
      </c>
      <c r="R4" s="62" t="s">
        <v>81</v>
      </c>
      <c r="S4" s="8" t="s">
        <v>82</v>
      </c>
      <c r="T4" s="62" t="s">
        <v>83</v>
      </c>
      <c r="U4" s="8" t="s">
        <v>84</v>
      </c>
    </row>
    <row r="5" spans="1:21" x14ac:dyDescent="0.3">
      <c r="A5" s="1" t="s">
        <v>57</v>
      </c>
      <c r="B5" s="41" t="s">
        <v>58</v>
      </c>
      <c r="C5" s="14">
        <f t="shared" ref="C5:G5" si="0">C6-C54</f>
        <v>860978.1</v>
      </c>
      <c r="D5" s="14">
        <f t="shared" si="0"/>
        <v>360</v>
      </c>
      <c r="E5" s="14">
        <f t="shared" si="0"/>
        <v>860978084.66999996</v>
      </c>
      <c r="F5" s="14">
        <f t="shared" si="0"/>
        <v>828462.58061999991</v>
      </c>
      <c r="G5" s="14">
        <f t="shared" si="0"/>
        <v>8.0620000002749492E-2</v>
      </c>
      <c r="H5" s="23">
        <f>H6+H54</f>
        <v>933436.12</v>
      </c>
      <c r="I5" s="23">
        <f>I6+I54</f>
        <v>63062.76</v>
      </c>
      <c r="J5" s="65">
        <f t="shared" ref="J5:J6" si="1">P5+Q5</f>
        <v>933436104.13000011</v>
      </c>
      <c r="K5" s="23">
        <f>K6-K54</f>
        <v>761460.2</v>
      </c>
      <c r="L5" s="23">
        <f>L6-L54</f>
        <v>761460229.07000005</v>
      </c>
      <c r="M5" s="23">
        <f>M6-M54</f>
        <v>843308.6</v>
      </c>
      <c r="N5" s="23">
        <f>N6-N54</f>
        <v>843408631.75999999</v>
      </c>
      <c r="O5" s="6"/>
      <c r="P5" s="23">
        <f t="shared" ref="P5:U5" si="2">P6+P54</f>
        <v>62067726.200000003</v>
      </c>
      <c r="Q5" s="23">
        <f t="shared" si="2"/>
        <v>871368377.93000007</v>
      </c>
      <c r="R5" s="23">
        <f t="shared" si="2"/>
        <v>36790252.969999999</v>
      </c>
      <c r="S5" s="23">
        <f t="shared" si="2"/>
        <v>723669976.10000002</v>
      </c>
      <c r="T5" s="23">
        <f t="shared" si="2"/>
        <v>45016211.280000001</v>
      </c>
      <c r="U5" s="23">
        <f t="shared" si="2"/>
        <v>798392420.48000002</v>
      </c>
    </row>
    <row r="6" spans="1:21" ht="24" x14ac:dyDescent="0.3">
      <c r="A6" s="1" t="s">
        <v>22</v>
      </c>
      <c r="B6" s="36" t="s">
        <v>23</v>
      </c>
      <c r="C6" s="14">
        <f>C10+C34+C53+C7+C54</f>
        <v>864721.7</v>
      </c>
      <c r="D6" s="14">
        <f>D10+D34+D53+D7+D54</f>
        <v>360</v>
      </c>
      <c r="E6" s="14">
        <f>E10+E34+E53+E7+E54</f>
        <v>864721718.66999996</v>
      </c>
      <c r="F6" s="14">
        <f>F10+F34+F53+F7+F54</f>
        <v>832206.21461999987</v>
      </c>
      <c r="G6" s="14">
        <f>G10+G34+G53+G7+G54</f>
        <v>0.11462000000285499</v>
      </c>
      <c r="H6" s="23">
        <f>H10+H34+H53+H7+H51</f>
        <v>908436.12</v>
      </c>
      <c r="I6" s="23">
        <f>I10+I34+I53+I7+I51</f>
        <v>38062.76</v>
      </c>
      <c r="J6" s="65">
        <f t="shared" si="1"/>
        <v>908436104.13000011</v>
      </c>
      <c r="K6" s="23">
        <f t="shared" ref="K6:N6" si="3">K10+K34+K53+K7+K54+K52</f>
        <v>761460.2</v>
      </c>
      <c r="L6" s="23">
        <f t="shared" si="3"/>
        <v>761460229.07000005</v>
      </c>
      <c r="M6" s="23">
        <f t="shared" si="3"/>
        <v>843308.6</v>
      </c>
      <c r="N6" s="23">
        <f t="shared" si="3"/>
        <v>843408631.75999999</v>
      </c>
      <c r="O6" s="6"/>
      <c r="P6" s="23">
        <f t="shared" ref="P6:U6" si="4">P10+P34+P53+P7+P51</f>
        <v>62067726.200000003</v>
      </c>
      <c r="Q6" s="23">
        <f t="shared" si="4"/>
        <v>846368377.93000007</v>
      </c>
      <c r="R6" s="23">
        <f t="shared" si="4"/>
        <v>36790252.969999999</v>
      </c>
      <c r="S6" s="23">
        <f t="shared" si="4"/>
        <v>723669976.10000002</v>
      </c>
      <c r="T6" s="23">
        <f t="shared" si="4"/>
        <v>45016211.280000001</v>
      </c>
      <c r="U6" s="23">
        <f t="shared" si="4"/>
        <v>798392420.48000002</v>
      </c>
    </row>
    <row r="7" spans="1:21" x14ac:dyDescent="0.3">
      <c r="A7" s="37" t="s">
        <v>36</v>
      </c>
      <c r="B7" s="9" t="s">
        <v>26</v>
      </c>
      <c r="C7" s="15">
        <f>C9</f>
        <v>34649</v>
      </c>
      <c r="D7" s="15">
        <f>D9</f>
        <v>0</v>
      </c>
      <c r="E7" s="15">
        <f>E9</f>
        <v>34649000</v>
      </c>
      <c r="F7" s="15">
        <f>F9</f>
        <v>34649</v>
      </c>
      <c r="G7" s="15">
        <f>G9</f>
        <v>0</v>
      </c>
      <c r="H7" s="24">
        <f>H9+H8</f>
        <v>23423</v>
      </c>
      <c r="I7" s="24">
        <f t="shared" ref="I7:M7" si="5">I9+I8</f>
        <v>0</v>
      </c>
      <c r="J7" s="65">
        <f>P7+Q7</f>
        <v>23423000</v>
      </c>
      <c r="K7" s="24">
        <f t="shared" si="5"/>
        <v>0</v>
      </c>
      <c r="L7" s="65">
        <f t="shared" ref="L7:L17" si="6">R7+S7</f>
        <v>0</v>
      </c>
      <c r="M7" s="24">
        <f t="shared" si="5"/>
        <v>0</v>
      </c>
      <c r="N7" s="65">
        <f t="shared" ref="N7:N17" si="7">T7+U7</f>
        <v>0</v>
      </c>
      <c r="O7" s="6" t="s">
        <v>61</v>
      </c>
      <c r="P7" s="24">
        <f t="shared" ref="P7:U7" si="8">P9+P8</f>
        <v>0</v>
      </c>
      <c r="Q7" s="24">
        <f t="shared" si="8"/>
        <v>23423000</v>
      </c>
      <c r="R7" s="24">
        <f t="shared" si="8"/>
        <v>0</v>
      </c>
      <c r="S7" s="24">
        <f t="shared" si="8"/>
        <v>0</v>
      </c>
      <c r="T7" s="24">
        <f t="shared" si="8"/>
        <v>0</v>
      </c>
      <c r="U7" s="24">
        <f t="shared" si="8"/>
        <v>0</v>
      </c>
    </row>
    <row r="8" spans="1:21" ht="24" customHeight="1" x14ac:dyDescent="0.3">
      <c r="A8" s="37" t="s">
        <v>76</v>
      </c>
      <c r="B8" s="85" t="s">
        <v>101</v>
      </c>
      <c r="C8" s="15"/>
      <c r="D8" s="15"/>
      <c r="E8" s="15"/>
      <c r="F8" s="58"/>
      <c r="G8" s="58"/>
      <c r="H8" s="68">
        <v>1186</v>
      </c>
      <c r="I8" s="68"/>
      <c r="J8" s="68">
        <f>P8+Q8</f>
        <v>1186000</v>
      </c>
      <c r="K8" s="24"/>
      <c r="L8" s="65">
        <f t="shared" si="6"/>
        <v>0</v>
      </c>
      <c r="M8" s="24"/>
      <c r="N8" s="65">
        <f t="shared" si="7"/>
        <v>0</v>
      </c>
      <c r="O8" s="6"/>
      <c r="P8" s="63"/>
      <c r="Q8" s="68">
        <v>1186000</v>
      </c>
      <c r="R8" s="63"/>
      <c r="S8" s="63"/>
      <c r="T8" s="63"/>
      <c r="U8" s="63"/>
    </row>
    <row r="9" spans="1:21" ht="26.4" x14ac:dyDescent="0.3">
      <c r="A9" s="59" t="s">
        <v>77</v>
      </c>
      <c r="B9" s="87" t="s">
        <v>102</v>
      </c>
      <c r="C9" s="16">
        <f>9649+25000</f>
        <v>34649</v>
      </c>
      <c r="D9" s="16"/>
      <c r="E9" s="25">
        <f>9649000+25000000</f>
        <v>34649000</v>
      </c>
      <c r="F9" s="6">
        <f t="shared" ref="F9:F54" si="9">E9/1000</f>
        <v>34649</v>
      </c>
      <c r="G9" s="6">
        <f t="shared" ref="G9:G54" si="10">F9-C9</f>
        <v>0</v>
      </c>
      <c r="H9" s="68">
        <f>19600+637+2000</f>
        <v>22237</v>
      </c>
      <c r="I9" s="68"/>
      <c r="J9" s="68">
        <f>P9+Q9</f>
        <v>22237000</v>
      </c>
      <c r="K9" s="65">
        <v>0</v>
      </c>
      <c r="L9" s="65">
        <f t="shared" si="6"/>
        <v>0</v>
      </c>
      <c r="M9" s="65">
        <v>0</v>
      </c>
      <c r="N9" s="65">
        <f t="shared" si="7"/>
        <v>0</v>
      </c>
      <c r="O9" s="6"/>
      <c r="P9" s="63"/>
      <c r="Q9" s="65">
        <f>637000+19600000+2000000</f>
        <v>22237000</v>
      </c>
      <c r="R9" s="63"/>
      <c r="S9" s="63"/>
      <c r="T9" s="63"/>
      <c r="U9" s="63"/>
    </row>
    <row r="10" spans="1:21" ht="22.8" x14ac:dyDescent="0.3">
      <c r="A10" s="38" t="s">
        <v>37</v>
      </c>
      <c r="B10" s="39" t="s">
        <v>25</v>
      </c>
      <c r="C10" s="17">
        <f t="shared" ref="C10:I10" si="11">SUM(C11:C22)</f>
        <v>99365.099999999991</v>
      </c>
      <c r="D10" s="17">
        <f t="shared" si="11"/>
        <v>0</v>
      </c>
      <c r="E10" s="17">
        <f t="shared" si="11"/>
        <v>99365090.670000002</v>
      </c>
      <c r="F10" s="17">
        <f t="shared" si="11"/>
        <v>66849.586620000002</v>
      </c>
      <c r="G10" s="17">
        <f t="shared" si="11"/>
        <v>8.6620000003062358E-2</v>
      </c>
      <c r="H10" s="17">
        <f>SUM(H11:H22)</f>
        <v>97614.13</v>
      </c>
      <c r="I10" s="26">
        <f t="shared" si="11"/>
        <v>25604.760000000002</v>
      </c>
      <c r="J10" s="65">
        <f>P10+Q10</f>
        <v>97614104.790000007</v>
      </c>
      <c r="K10" s="26">
        <f>SUM(K11:K22)</f>
        <v>60210.200000000004</v>
      </c>
      <c r="L10" s="65">
        <f t="shared" si="6"/>
        <v>60210229.07</v>
      </c>
      <c r="M10" s="26">
        <f>SUM(M11:M22)</f>
        <v>68813.600000000006</v>
      </c>
      <c r="N10" s="65">
        <f t="shared" si="7"/>
        <v>68913631.760000005</v>
      </c>
      <c r="O10" s="6"/>
      <c r="P10" s="26">
        <f t="shared" ref="P10:U10" si="12">SUM(P11:P22)</f>
        <v>46067367.200000003</v>
      </c>
      <c r="Q10" s="26">
        <f t="shared" si="12"/>
        <v>51546737.590000004</v>
      </c>
      <c r="R10" s="26">
        <f t="shared" si="12"/>
        <v>33091252.969999999</v>
      </c>
      <c r="S10" s="26">
        <f t="shared" si="12"/>
        <v>27118976.100000001</v>
      </c>
      <c r="T10" s="26">
        <f t="shared" si="12"/>
        <v>41621211.280000001</v>
      </c>
      <c r="U10" s="26">
        <f t="shared" si="12"/>
        <v>27292420.48</v>
      </c>
    </row>
    <row r="11" spans="1:21" ht="46.95" customHeight="1" x14ac:dyDescent="0.3">
      <c r="A11" s="45" t="s">
        <v>66</v>
      </c>
      <c r="B11" s="87" t="s">
        <v>98</v>
      </c>
      <c r="C11" s="18">
        <v>29411</v>
      </c>
      <c r="D11" s="19"/>
      <c r="E11" s="27">
        <v>29411000</v>
      </c>
      <c r="F11" s="6">
        <f t="shared" si="9"/>
        <v>29411</v>
      </c>
      <c r="G11" s="6">
        <f t="shared" si="10"/>
        <v>0</v>
      </c>
      <c r="H11" s="68">
        <v>23860</v>
      </c>
      <c r="I11" s="68"/>
      <c r="J11" s="68">
        <f>P11+Q11</f>
        <v>23860000</v>
      </c>
      <c r="K11" s="65">
        <v>18000</v>
      </c>
      <c r="L11" s="65">
        <f t="shared" si="6"/>
        <v>18000000</v>
      </c>
      <c r="M11" s="65">
        <v>18000</v>
      </c>
      <c r="N11" s="65">
        <f t="shared" si="7"/>
        <v>18000000</v>
      </c>
      <c r="O11" s="6" t="s">
        <v>62</v>
      </c>
      <c r="P11" s="63"/>
      <c r="Q11" s="68">
        <v>23860000</v>
      </c>
      <c r="R11" s="63"/>
      <c r="S11" s="65">
        <v>18000000</v>
      </c>
      <c r="T11" s="63"/>
      <c r="U11" s="65">
        <v>18000000</v>
      </c>
    </row>
    <row r="12" spans="1:21" ht="90" hidden="1" customHeight="1" x14ac:dyDescent="0.3">
      <c r="A12" s="54" t="s">
        <v>51</v>
      </c>
      <c r="B12" s="55" t="s">
        <v>52</v>
      </c>
      <c r="C12" s="18">
        <v>30453.9</v>
      </c>
      <c r="D12" s="19"/>
      <c r="E12" s="27">
        <v>30453878.91</v>
      </c>
      <c r="F12" s="6"/>
      <c r="G12" s="6"/>
      <c r="H12" s="65"/>
      <c r="I12" s="65"/>
      <c r="J12" s="65">
        <f t="shared" ref="J12:J17" si="13">P12+Q12</f>
        <v>0</v>
      </c>
      <c r="K12" s="65"/>
      <c r="L12" s="65">
        <f t="shared" si="6"/>
        <v>0</v>
      </c>
      <c r="M12" s="65"/>
      <c r="N12" s="65">
        <f t="shared" si="7"/>
        <v>0</v>
      </c>
      <c r="O12" s="6"/>
      <c r="P12" s="63"/>
      <c r="Q12" s="63"/>
      <c r="R12" s="63"/>
      <c r="S12" s="63"/>
      <c r="T12" s="63"/>
      <c r="U12" s="63"/>
    </row>
    <row r="13" spans="1:21" ht="69.599999999999994" hidden="1" customHeight="1" x14ac:dyDescent="0.3">
      <c r="A13" s="54" t="s">
        <v>53</v>
      </c>
      <c r="B13" s="55" t="s">
        <v>54</v>
      </c>
      <c r="C13" s="18">
        <v>212.2</v>
      </c>
      <c r="D13" s="19"/>
      <c r="E13" s="27">
        <v>212168.14</v>
      </c>
      <c r="F13" s="6"/>
      <c r="G13" s="6"/>
      <c r="H13" s="65"/>
      <c r="I13" s="65"/>
      <c r="J13" s="65">
        <f t="shared" si="13"/>
        <v>0</v>
      </c>
      <c r="K13" s="65"/>
      <c r="L13" s="65">
        <f t="shared" si="6"/>
        <v>0</v>
      </c>
      <c r="M13" s="65"/>
      <c r="N13" s="65">
        <f t="shared" si="7"/>
        <v>0</v>
      </c>
      <c r="O13" s="6"/>
      <c r="P13" s="63"/>
      <c r="Q13" s="63"/>
      <c r="R13" s="63"/>
      <c r="S13" s="63"/>
      <c r="T13" s="63"/>
      <c r="U13" s="63"/>
    </row>
    <row r="14" spans="1:21" ht="40.950000000000003" customHeight="1" x14ac:dyDescent="0.3">
      <c r="A14" s="45" t="s">
        <v>68</v>
      </c>
      <c r="B14" s="88" t="s">
        <v>69</v>
      </c>
      <c r="C14" s="32"/>
      <c r="D14" s="27"/>
      <c r="E14" s="27"/>
      <c r="F14" s="6"/>
      <c r="G14" s="6"/>
      <c r="H14" s="65"/>
      <c r="I14" s="65"/>
      <c r="J14" s="65">
        <f t="shared" si="13"/>
        <v>0</v>
      </c>
      <c r="K14" s="68">
        <v>2125.8000000000002</v>
      </c>
      <c r="L14" s="68">
        <f t="shared" si="6"/>
        <v>2125794</v>
      </c>
      <c r="M14" s="65"/>
      <c r="N14" s="65">
        <f t="shared" si="7"/>
        <v>0</v>
      </c>
      <c r="O14" s="6" t="s">
        <v>60</v>
      </c>
      <c r="P14" s="63"/>
      <c r="Q14" s="63"/>
      <c r="R14" s="63">
        <v>1954013</v>
      </c>
      <c r="S14" s="63">
        <v>171781</v>
      </c>
      <c r="T14" s="63"/>
      <c r="U14" s="63"/>
    </row>
    <row r="15" spans="1:21" ht="60" customHeight="1" x14ac:dyDescent="0.3">
      <c r="A15" s="59" t="s">
        <v>85</v>
      </c>
      <c r="B15" s="89" t="s">
        <v>99</v>
      </c>
      <c r="C15" s="18"/>
      <c r="D15" s="19"/>
      <c r="E15" s="27"/>
      <c r="F15" s="6"/>
      <c r="G15" s="6"/>
      <c r="H15" s="65"/>
      <c r="I15" s="65"/>
      <c r="J15" s="65">
        <f t="shared" si="13"/>
        <v>0</v>
      </c>
      <c r="K15" s="65"/>
      <c r="L15" s="65">
        <f t="shared" si="6"/>
        <v>0</v>
      </c>
      <c r="M15" s="65">
        <v>1260.7</v>
      </c>
      <c r="N15" s="65">
        <f t="shared" si="7"/>
        <v>1260700</v>
      </c>
      <c r="O15" s="6" t="s">
        <v>62</v>
      </c>
      <c r="P15" s="63"/>
      <c r="Q15" s="63"/>
      <c r="R15" s="63"/>
      <c r="S15" s="63"/>
      <c r="T15" s="63">
        <v>1073200</v>
      </c>
      <c r="U15" s="63">
        <v>187500</v>
      </c>
    </row>
    <row r="16" spans="1:21" ht="60" customHeight="1" x14ac:dyDescent="0.3">
      <c r="A16" s="59" t="s">
        <v>112</v>
      </c>
      <c r="B16" s="89" t="s">
        <v>113</v>
      </c>
      <c r="C16" s="18"/>
      <c r="D16" s="19"/>
      <c r="E16" s="27"/>
      <c r="F16" s="6"/>
      <c r="G16" s="6"/>
      <c r="H16" s="95">
        <v>13921.37</v>
      </c>
      <c r="I16" s="95">
        <v>13921.37</v>
      </c>
      <c r="J16" s="95">
        <f t="shared" si="13"/>
        <v>13921375</v>
      </c>
      <c r="K16" s="95"/>
      <c r="L16" s="95"/>
      <c r="M16" s="95"/>
      <c r="N16" s="95"/>
      <c r="O16" s="96"/>
      <c r="P16" s="97">
        <v>12796415</v>
      </c>
      <c r="Q16" s="97">
        <v>1124960</v>
      </c>
      <c r="R16" s="63"/>
      <c r="S16" s="63"/>
      <c r="T16" s="63"/>
      <c r="U16" s="63"/>
    </row>
    <row r="17" spans="1:21" ht="31.95" customHeight="1" x14ac:dyDescent="0.3">
      <c r="A17" s="4" t="s">
        <v>41</v>
      </c>
      <c r="B17" s="90" t="s">
        <v>100</v>
      </c>
      <c r="C17" s="32">
        <v>1770.5</v>
      </c>
      <c r="D17" s="27"/>
      <c r="E17" s="27">
        <v>1770457</v>
      </c>
      <c r="F17" s="6"/>
      <c r="G17" s="6"/>
      <c r="H17" s="65">
        <v>2906</v>
      </c>
      <c r="I17" s="65"/>
      <c r="J17" s="65">
        <f t="shared" si="13"/>
        <v>2906000</v>
      </c>
      <c r="K17" s="65">
        <v>3695</v>
      </c>
      <c r="L17" s="65">
        <f t="shared" si="6"/>
        <v>3695000</v>
      </c>
      <c r="M17" s="65">
        <v>2442</v>
      </c>
      <c r="N17" s="65">
        <f t="shared" si="7"/>
        <v>2442000</v>
      </c>
      <c r="O17" s="6" t="s">
        <v>61</v>
      </c>
      <c r="P17" s="63">
        <v>2576018.34</v>
      </c>
      <c r="Q17" s="63">
        <v>329981.65999999997</v>
      </c>
      <c r="R17" s="63">
        <v>3307000</v>
      </c>
      <c r="S17" s="63">
        <v>388000</v>
      </c>
      <c r="T17" s="63">
        <v>2054000</v>
      </c>
      <c r="U17" s="63">
        <v>388000</v>
      </c>
    </row>
    <row r="18" spans="1:21" ht="24" x14ac:dyDescent="0.3">
      <c r="A18" s="70" t="s">
        <v>38</v>
      </c>
      <c r="B18" s="91" t="s">
        <v>103</v>
      </c>
      <c r="C18" s="56">
        <v>19.2</v>
      </c>
      <c r="D18" s="56"/>
      <c r="E18" s="57">
        <v>19200</v>
      </c>
      <c r="F18" s="51">
        <f>E18/1000</f>
        <v>19.2</v>
      </c>
      <c r="G18" s="51">
        <f>F18-C18</f>
        <v>0</v>
      </c>
      <c r="H18" s="73">
        <v>4024.2</v>
      </c>
      <c r="I18" s="66"/>
      <c r="J18" s="68">
        <f>P18+Q18</f>
        <v>4024176</v>
      </c>
      <c r="K18" s="65"/>
      <c r="L18" s="65">
        <f>R18+S18</f>
        <v>0</v>
      </c>
      <c r="M18" s="66"/>
      <c r="N18" s="65">
        <f>T18+U18</f>
        <v>0</v>
      </c>
      <c r="O18" s="6" t="s">
        <v>64</v>
      </c>
      <c r="P18" s="77">
        <v>3662000</v>
      </c>
      <c r="Q18" s="77">
        <f>362200-24</f>
        <v>362176</v>
      </c>
      <c r="R18" s="63"/>
      <c r="S18" s="63"/>
      <c r="T18" s="63"/>
      <c r="U18" s="63"/>
    </row>
    <row r="19" spans="1:21" ht="38.4" customHeight="1" x14ac:dyDescent="0.3">
      <c r="A19" s="45" t="s">
        <v>78</v>
      </c>
      <c r="B19" s="92" t="s">
        <v>104</v>
      </c>
      <c r="C19" s="32">
        <v>10592.8</v>
      </c>
      <c r="D19" s="27"/>
      <c r="E19" s="27">
        <v>10592830</v>
      </c>
      <c r="F19" s="6">
        <f>E19/1000</f>
        <v>10592.83</v>
      </c>
      <c r="G19" s="6">
        <f>F19-C19</f>
        <v>3.0000000000654836E-2</v>
      </c>
      <c r="H19" s="95">
        <f>5000+5078.7+51.3</f>
        <v>10130</v>
      </c>
      <c r="I19" s="95">
        <f>5078.7+51.3</f>
        <v>5130</v>
      </c>
      <c r="J19" s="95">
        <f>P19+Q19</f>
        <v>10130000</v>
      </c>
      <c r="K19" s="95">
        <v>10000</v>
      </c>
      <c r="L19" s="95">
        <f>R19+S19</f>
        <v>10000000</v>
      </c>
      <c r="M19" s="95">
        <v>20000</v>
      </c>
      <c r="N19" s="95">
        <f>T19+U19</f>
        <v>20000000</v>
      </c>
      <c r="O19" s="96" t="s">
        <v>61</v>
      </c>
      <c r="P19" s="97">
        <f>4950000+5078700</f>
        <v>10028700</v>
      </c>
      <c r="Q19" s="97">
        <f>50000+51300</f>
        <v>101300</v>
      </c>
      <c r="R19" s="63">
        <v>9900000</v>
      </c>
      <c r="S19" s="63">
        <v>100000</v>
      </c>
      <c r="T19" s="63">
        <v>19800000</v>
      </c>
      <c r="U19" s="63">
        <v>200000</v>
      </c>
    </row>
    <row r="20" spans="1:21" ht="25.95" customHeight="1" x14ac:dyDescent="0.3">
      <c r="A20" s="1" t="s">
        <v>39</v>
      </c>
      <c r="B20" s="90" t="s">
        <v>105</v>
      </c>
      <c r="C20" s="32">
        <v>19852.8</v>
      </c>
      <c r="D20" s="27"/>
      <c r="E20" s="27">
        <v>19852840.23</v>
      </c>
      <c r="F20" s="6">
        <f t="shared" si="9"/>
        <v>19852.840230000002</v>
      </c>
      <c r="G20" s="6">
        <f t="shared" si="10"/>
        <v>4.0230000002338784E-2</v>
      </c>
      <c r="H20" s="68">
        <v>17176</v>
      </c>
      <c r="I20" s="65"/>
      <c r="J20" s="68">
        <f t="shared" ref="J20:J54" si="14">P20+Q20</f>
        <v>17175993.789999999</v>
      </c>
      <c r="K20" s="65">
        <v>18111.400000000001</v>
      </c>
      <c r="L20" s="65">
        <f t="shared" ref="L20:L52" si="15">R20+S20</f>
        <v>18111435.07</v>
      </c>
      <c r="M20" s="65">
        <v>18882.900000000001</v>
      </c>
      <c r="N20" s="65">
        <f t="shared" ref="N20:N56" si="16">T20+U20</f>
        <v>18882931.760000002</v>
      </c>
      <c r="O20" s="6" t="s">
        <v>62</v>
      </c>
      <c r="P20" s="77">
        <v>17004233.859999999</v>
      </c>
      <c r="Q20" s="77">
        <v>171759.93</v>
      </c>
      <c r="R20" s="63">
        <v>17930239.969999999</v>
      </c>
      <c r="S20" s="63">
        <v>181195.1</v>
      </c>
      <c r="T20" s="63">
        <v>18694011.280000001</v>
      </c>
      <c r="U20" s="63">
        <v>188920.48</v>
      </c>
    </row>
    <row r="21" spans="1:21" ht="24.6" hidden="1" x14ac:dyDescent="0.3">
      <c r="A21" s="4" t="s">
        <v>40</v>
      </c>
      <c r="B21" s="11" t="s">
        <v>24</v>
      </c>
      <c r="C21" s="32"/>
      <c r="D21" s="27"/>
      <c r="E21" s="27"/>
      <c r="F21" s="6">
        <f t="shared" si="9"/>
        <v>0</v>
      </c>
      <c r="G21" s="6">
        <f t="shared" si="10"/>
        <v>0</v>
      </c>
      <c r="H21" s="65"/>
      <c r="I21" s="65"/>
      <c r="J21" s="65">
        <f t="shared" si="14"/>
        <v>0</v>
      </c>
      <c r="K21" s="65"/>
      <c r="L21" s="65">
        <f t="shared" si="15"/>
        <v>0</v>
      </c>
      <c r="M21" s="65"/>
      <c r="N21" s="65">
        <f t="shared" si="16"/>
        <v>0</v>
      </c>
      <c r="O21" s="6"/>
      <c r="P21" s="63"/>
      <c r="Q21" s="63"/>
      <c r="R21" s="63"/>
      <c r="S21" s="63"/>
      <c r="T21" s="63"/>
      <c r="U21" s="63"/>
    </row>
    <row r="22" spans="1:21" x14ac:dyDescent="0.3">
      <c r="A22" s="2" t="s">
        <v>42</v>
      </c>
      <c r="B22" s="12" t="s">
        <v>20</v>
      </c>
      <c r="C22" s="28">
        <f>C23+C24+C27+C29+C30+C25+C28+C31+C32+C33</f>
        <v>7052.7</v>
      </c>
      <c r="D22" s="28">
        <f>D23+D24+D27+D29+D30+D25+D28+D31+D32+D33</f>
        <v>0</v>
      </c>
      <c r="E22" s="28">
        <f>E23+E24+E27+E29+E30+E25+E28+E31+E32+E33</f>
        <v>7052716.3899999997</v>
      </c>
      <c r="F22" s="28">
        <f>F23+F24+F27+F29+F30+F25+F28+F31+F32+F33</f>
        <v>6973.7163900000005</v>
      </c>
      <c r="G22" s="28">
        <f>G23+G24+G27+G29+G30+G25+G28+G31+G32+G33</f>
        <v>1.6390000000068738E-2</v>
      </c>
      <c r="H22" s="28">
        <f>SUM(H23:H33)</f>
        <v>25596.560000000001</v>
      </c>
      <c r="I22" s="28">
        <f>SUM(I23:I33)</f>
        <v>6553.39</v>
      </c>
      <c r="J22" s="65">
        <f t="shared" si="14"/>
        <v>25596560</v>
      </c>
      <c r="K22" s="28">
        <f>SUM(K23:K33)</f>
        <v>8278</v>
      </c>
      <c r="L22" s="65">
        <f t="shared" si="15"/>
        <v>8278000</v>
      </c>
      <c r="M22" s="28">
        <f>SUM(M23:M33)</f>
        <v>8228</v>
      </c>
      <c r="N22" s="65">
        <f t="shared" si="16"/>
        <v>8328000</v>
      </c>
      <c r="O22" s="6"/>
      <c r="P22" s="28">
        <f t="shared" ref="P22:U22" si="17">SUM(P23:P33)</f>
        <v>0</v>
      </c>
      <c r="Q22" s="28">
        <f t="shared" si="17"/>
        <v>25596560</v>
      </c>
      <c r="R22" s="28">
        <f t="shared" si="17"/>
        <v>0</v>
      </c>
      <c r="S22" s="28">
        <f t="shared" si="17"/>
        <v>8278000</v>
      </c>
      <c r="T22" s="28">
        <f t="shared" si="17"/>
        <v>0</v>
      </c>
      <c r="U22" s="28">
        <f t="shared" si="17"/>
        <v>8328000</v>
      </c>
    </row>
    <row r="23" spans="1:21" ht="27.6" customHeight="1" x14ac:dyDescent="0.3">
      <c r="A23" s="1"/>
      <c r="B23" s="10" t="s">
        <v>21</v>
      </c>
      <c r="C23" s="32">
        <f>3236+2126</f>
        <v>5362</v>
      </c>
      <c r="D23" s="27"/>
      <c r="E23" s="27">
        <f>3236000+2126000</f>
        <v>5362000</v>
      </c>
      <c r="F23" s="6">
        <f t="shared" si="9"/>
        <v>5362</v>
      </c>
      <c r="G23" s="6">
        <f t="shared" si="10"/>
        <v>0</v>
      </c>
      <c r="H23" s="98">
        <f>5412+87.65-1124.96</f>
        <v>4374.6899999999996</v>
      </c>
      <c r="I23" s="98">
        <f>87.65-1124.96</f>
        <v>-1037.31</v>
      </c>
      <c r="J23" s="98">
        <f t="shared" si="14"/>
        <v>4374690</v>
      </c>
      <c r="K23" s="95">
        <v>5412</v>
      </c>
      <c r="L23" s="95">
        <f t="shared" si="15"/>
        <v>5412000</v>
      </c>
      <c r="M23" s="95">
        <v>5412</v>
      </c>
      <c r="N23" s="95">
        <f t="shared" si="16"/>
        <v>5412000</v>
      </c>
      <c r="O23" s="96" t="s">
        <v>60</v>
      </c>
      <c r="P23" s="97"/>
      <c r="Q23" s="98">
        <f>5412000+87650-1124960</f>
        <v>4374690</v>
      </c>
      <c r="R23" s="63"/>
      <c r="S23" s="65">
        <v>5412000</v>
      </c>
      <c r="T23" s="63"/>
      <c r="U23" s="65">
        <v>5412000</v>
      </c>
    </row>
    <row r="24" spans="1:21" ht="36" x14ac:dyDescent="0.3">
      <c r="A24" s="1"/>
      <c r="B24" s="52" t="s">
        <v>67</v>
      </c>
      <c r="C24" s="57">
        <v>500</v>
      </c>
      <c r="D24" s="57"/>
      <c r="E24" s="57">
        <v>500000</v>
      </c>
      <c r="F24" s="51">
        <f t="shared" si="9"/>
        <v>500</v>
      </c>
      <c r="G24" s="51">
        <f t="shared" si="10"/>
        <v>0</v>
      </c>
      <c r="H24" s="73">
        <v>543.77</v>
      </c>
      <c r="I24" s="73"/>
      <c r="J24" s="68">
        <f t="shared" si="14"/>
        <v>543770</v>
      </c>
      <c r="K24" s="66">
        <v>1000</v>
      </c>
      <c r="L24" s="65">
        <f t="shared" si="15"/>
        <v>1000000</v>
      </c>
      <c r="M24" s="66">
        <v>1000</v>
      </c>
      <c r="N24" s="65">
        <f t="shared" si="16"/>
        <v>1100000</v>
      </c>
      <c r="O24" s="6" t="s">
        <v>60</v>
      </c>
      <c r="P24" s="63"/>
      <c r="Q24" s="73">
        <v>543770</v>
      </c>
      <c r="R24" s="63"/>
      <c r="S24" s="66">
        <v>1000000</v>
      </c>
      <c r="T24" s="63"/>
      <c r="U24" s="66">
        <v>1100000</v>
      </c>
    </row>
    <row r="25" spans="1:21" ht="24.6" x14ac:dyDescent="0.3">
      <c r="A25" s="1"/>
      <c r="B25" s="40" t="s">
        <v>30</v>
      </c>
      <c r="C25" s="25"/>
      <c r="D25" s="25"/>
      <c r="E25" s="25"/>
      <c r="F25" s="6">
        <f t="shared" si="9"/>
        <v>0</v>
      </c>
      <c r="G25" s="6">
        <f t="shared" si="10"/>
        <v>0</v>
      </c>
      <c r="H25" s="65"/>
      <c r="I25" s="65"/>
      <c r="J25" s="65">
        <f t="shared" si="14"/>
        <v>0</v>
      </c>
      <c r="K25" s="65"/>
      <c r="L25" s="65">
        <f t="shared" si="15"/>
        <v>0</v>
      </c>
      <c r="M25" s="65"/>
      <c r="N25" s="65">
        <f t="shared" si="16"/>
        <v>0</v>
      </c>
      <c r="O25" s="6"/>
      <c r="P25" s="63"/>
      <c r="Q25" s="63"/>
      <c r="R25" s="63"/>
      <c r="S25" s="63"/>
      <c r="T25" s="63"/>
      <c r="U25" s="63"/>
    </row>
    <row r="26" spans="1:21" ht="24.6" x14ac:dyDescent="0.3">
      <c r="A26" s="1"/>
      <c r="B26" s="64" t="s">
        <v>88</v>
      </c>
      <c r="C26" s="25"/>
      <c r="D26" s="25"/>
      <c r="E26" s="25"/>
      <c r="F26" s="6"/>
      <c r="G26" s="6"/>
      <c r="H26" s="65"/>
      <c r="I26" s="65"/>
      <c r="J26" s="65">
        <f t="shared" si="14"/>
        <v>0</v>
      </c>
      <c r="K26" s="65">
        <v>1300</v>
      </c>
      <c r="L26" s="65">
        <f t="shared" si="15"/>
        <v>1300000</v>
      </c>
      <c r="M26" s="65">
        <v>1250</v>
      </c>
      <c r="N26" s="65">
        <f t="shared" si="16"/>
        <v>1250000</v>
      </c>
      <c r="O26" s="6" t="s">
        <v>60</v>
      </c>
      <c r="P26" s="63"/>
      <c r="Q26" s="63"/>
      <c r="R26" s="63"/>
      <c r="S26" s="65">
        <v>1300000</v>
      </c>
      <c r="T26" s="63"/>
      <c r="U26" s="65">
        <v>1250000</v>
      </c>
    </row>
    <row r="27" spans="1:21" ht="22.2" customHeight="1" x14ac:dyDescent="0.3">
      <c r="A27" s="1"/>
      <c r="B27" s="30" t="s">
        <v>89</v>
      </c>
      <c r="C27" s="25">
        <v>508.9</v>
      </c>
      <c r="D27" s="25"/>
      <c r="E27" s="25">
        <v>508947.39</v>
      </c>
      <c r="F27" s="6">
        <f t="shared" si="9"/>
        <v>508.94739000000004</v>
      </c>
      <c r="G27" s="6">
        <f t="shared" si="10"/>
        <v>4.7390000000063992E-2</v>
      </c>
      <c r="H27" s="65">
        <v>111</v>
      </c>
      <c r="I27" s="65"/>
      <c r="J27" s="65">
        <f t="shared" si="14"/>
        <v>111000</v>
      </c>
      <c r="K27" s="65">
        <v>111</v>
      </c>
      <c r="L27" s="65">
        <f t="shared" si="15"/>
        <v>111000</v>
      </c>
      <c r="M27" s="65">
        <v>111</v>
      </c>
      <c r="N27" s="65">
        <f t="shared" si="16"/>
        <v>111000</v>
      </c>
      <c r="O27" s="6" t="s">
        <v>61</v>
      </c>
      <c r="P27" s="63"/>
      <c r="Q27" s="65">
        <v>111000</v>
      </c>
      <c r="R27" s="63"/>
      <c r="S27" s="65">
        <v>111000</v>
      </c>
      <c r="T27" s="63"/>
      <c r="U27" s="65">
        <v>111000</v>
      </c>
    </row>
    <row r="28" spans="1:21" ht="39" customHeight="1" x14ac:dyDescent="0.3">
      <c r="A28" s="1"/>
      <c r="B28" s="30" t="s">
        <v>31</v>
      </c>
      <c r="C28" s="16">
        <v>31.3</v>
      </c>
      <c r="D28" s="16"/>
      <c r="E28" s="25">
        <v>31250</v>
      </c>
      <c r="F28" s="6">
        <f t="shared" si="9"/>
        <v>31.25</v>
      </c>
      <c r="G28" s="6">
        <f t="shared" si="10"/>
        <v>-5.0000000000000711E-2</v>
      </c>
      <c r="H28" s="65">
        <v>32</v>
      </c>
      <c r="I28" s="65"/>
      <c r="J28" s="65">
        <f t="shared" si="14"/>
        <v>32000</v>
      </c>
      <c r="K28" s="65">
        <v>32</v>
      </c>
      <c r="L28" s="65">
        <f t="shared" si="15"/>
        <v>32000</v>
      </c>
      <c r="M28" s="65">
        <v>32</v>
      </c>
      <c r="N28" s="65">
        <f t="shared" si="16"/>
        <v>32000</v>
      </c>
      <c r="O28" s="6" t="s">
        <v>61</v>
      </c>
      <c r="P28" s="63"/>
      <c r="Q28" s="65">
        <v>32000</v>
      </c>
      <c r="R28" s="63"/>
      <c r="S28" s="65">
        <v>32000</v>
      </c>
      <c r="T28" s="63"/>
      <c r="U28" s="65">
        <v>32000</v>
      </c>
    </row>
    <row r="29" spans="1:21" ht="24" x14ac:dyDescent="0.3">
      <c r="A29" s="1"/>
      <c r="B29" s="9" t="s">
        <v>28</v>
      </c>
      <c r="C29" s="16">
        <v>571.5</v>
      </c>
      <c r="D29" s="16"/>
      <c r="E29" s="25">
        <v>571519</v>
      </c>
      <c r="F29" s="6">
        <f t="shared" si="9"/>
        <v>571.51900000000001</v>
      </c>
      <c r="G29" s="6">
        <f t="shared" si="10"/>
        <v>1.9000000000005457E-2</v>
      </c>
      <c r="H29" s="65">
        <v>271</v>
      </c>
      <c r="I29" s="65"/>
      <c r="J29" s="65">
        <f t="shared" si="14"/>
        <v>271000</v>
      </c>
      <c r="K29" s="65">
        <v>423</v>
      </c>
      <c r="L29" s="65">
        <f t="shared" si="15"/>
        <v>423000</v>
      </c>
      <c r="M29" s="65">
        <v>423</v>
      </c>
      <c r="N29" s="65">
        <f t="shared" si="16"/>
        <v>423000</v>
      </c>
      <c r="O29" s="6" t="s">
        <v>61</v>
      </c>
      <c r="P29" s="63"/>
      <c r="Q29" s="65">
        <v>271000</v>
      </c>
      <c r="R29" s="63"/>
      <c r="S29" s="65">
        <v>423000</v>
      </c>
      <c r="T29" s="63"/>
      <c r="U29" s="65">
        <v>423000</v>
      </c>
    </row>
    <row r="30" spans="1:21" ht="24" x14ac:dyDescent="0.3">
      <c r="A30" s="1"/>
      <c r="B30" s="71" t="s">
        <v>29</v>
      </c>
      <c r="C30" s="18"/>
      <c r="D30" s="19"/>
      <c r="E30" s="27"/>
      <c r="F30" s="6">
        <f t="shared" si="9"/>
        <v>0</v>
      </c>
      <c r="G30" s="6">
        <f t="shared" si="10"/>
        <v>0</v>
      </c>
      <c r="H30" s="65"/>
      <c r="I30" s="65"/>
      <c r="J30" s="65">
        <f t="shared" si="14"/>
        <v>0</v>
      </c>
      <c r="K30" s="65"/>
      <c r="L30" s="65">
        <f t="shared" si="15"/>
        <v>0</v>
      </c>
      <c r="M30" s="65"/>
      <c r="N30" s="65">
        <f t="shared" si="16"/>
        <v>0</v>
      </c>
      <c r="O30" s="6"/>
      <c r="P30" s="63"/>
      <c r="Q30" s="63"/>
      <c r="R30" s="63"/>
      <c r="S30" s="63"/>
      <c r="T30" s="63"/>
      <c r="U30" s="63"/>
    </row>
    <row r="31" spans="1:21" ht="72" x14ac:dyDescent="0.3">
      <c r="A31" s="1"/>
      <c r="B31" s="94" t="s">
        <v>111</v>
      </c>
      <c r="C31" s="18"/>
      <c r="D31" s="19"/>
      <c r="E31" s="27"/>
      <c r="F31" s="6">
        <f t="shared" si="9"/>
        <v>0</v>
      </c>
      <c r="G31" s="6">
        <f t="shared" si="10"/>
        <v>0</v>
      </c>
      <c r="H31" s="98">
        <v>7096.5</v>
      </c>
      <c r="I31" s="98">
        <v>7096.5</v>
      </c>
      <c r="J31" s="98">
        <f t="shared" si="14"/>
        <v>7096500</v>
      </c>
      <c r="K31" s="95"/>
      <c r="L31" s="95">
        <f t="shared" si="15"/>
        <v>0</v>
      </c>
      <c r="M31" s="95"/>
      <c r="N31" s="95">
        <f t="shared" si="16"/>
        <v>0</v>
      </c>
      <c r="O31" s="96"/>
      <c r="P31" s="97"/>
      <c r="Q31" s="97">
        <v>7096500</v>
      </c>
      <c r="R31" s="63"/>
      <c r="S31" s="63"/>
      <c r="T31" s="63"/>
      <c r="U31" s="63"/>
    </row>
    <row r="32" spans="1:21" x14ac:dyDescent="0.3">
      <c r="A32" s="1"/>
      <c r="B32" s="79" t="s">
        <v>109</v>
      </c>
      <c r="C32" s="80"/>
      <c r="D32" s="80"/>
      <c r="E32" s="81"/>
      <c r="F32" s="82">
        <f t="shared" si="9"/>
        <v>0</v>
      </c>
      <c r="G32" s="82">
        <f t="shared" si="10"/>
        <v>0</v>
      </c>
      <c r="H32" s="83">
        <v>12673.4</v>
      </c>
      <c r="I32" s="83"/>
      <c r="J32" s="83">
        <f t="shared" si="14"/>
        <v>12673400</v>
      </c>
      <c r="K32" s="83"/>
      <c r="L32" s="83">
        <f t="shared" si="15"/>
        <v>0</v>
      </c>
      <c r="M32" s="83"/>
      <c r="N32" s="83">
        <f t="shared" si="16"/>
        <v>0</v>
      </c>
      <c r="O32" s="82"/>
      <c r="P32" s="84"/>
      <c r="Q32" s="84">
        <v>12673400</v>
      </c>
      <c r="R32" s="84"/>
      <c r="S32" s="84"/>
      <c r="T32" s="84"/>
      <c r="U32" s="84"/>
    </row>
    <row r="33" spans="1:21" ht="36" x14ac:dyDescent="0.3">
      <c r="A33" s="1"/>
      <c r="B33" s="99" t="s">
        <v>116</v>
      </c>
      <c r="C33" s="18">
        <v>79</v>
      </c>
      <c r="D33" s="19"/>
      <c r="E33" s="27">
        <v>79000</v>
      </c>
      <c r="F33" s="6"/>
      <c r="G33" s="6"/>
      <c r="H33" s="65">
        <v>494.2</v>
      </c>
      <c r="I33" s="65">
        <v>494.2</v>
      </c>
      <c r="J33" s="65">
        <f t="shared" si="14"/>
        <v>494200</v>
      </c>
      <c r="K33" s="65"/>
      <c r="L33" s="65">
        <f t="shared" si="15"/>
        <v>0</v>
      </c>
      <c r="M33" s="65"/>
      <c r="N33" s="65">
        <f t="shared" si="16"/>
        <v>0</v>
      </c>
      <c r="O33" s="6"/>
      <c r="P33" s="63"/>
      <c r="Q33" s="63">
        <v>494200</v>
      </c>
      <c r="R33" s="63"/>
      <c r="S33" s="63"/>
      <c r="T33" s="63"/>
      <c r="U33" s="63"/>
    </row>
    <row r="34" spans="1:21" ht="16.95" customHeight="1" x14ac:dyDescent="0.3">
      <c r="A34" s="7" t="s">
        <v>43</v>
      </c>
      <c r="B34" s="13" t="s">
        <v>3</v>
      </c>
      <c r="C34" s="72">
        <f>C35+C46+C47+C48+C49</f>
        <v>726424</v>
      </c>
      <c r="D34" s="72">
        <f>D35+D46+D47+D48+D49</f>
        <v>0</v>
      </c>
      <c r="E34" s="72">
        <f>E35+E46+E47+E48+E49</f>
        <v>726423994</v>
      </c>
      <c r="F34" s="72">
        <f>F35+F46+F47+F48+F49</f>
        <v>726423.99399999995</v>
      </c>
      <c r="G34" s="72">
        <f>G35+G46+G47+G48+G49</f>
        <v>-6.0000000003128662E-3</v>
      </c>
      <c r="H34" s="69">
        <f>H35+H46+H47+H48+H49+H50</f>
        <v>774940.99</v>
      </c>
      <c r="I34" s="69">
        <f t="shared" ref="I34:U34" si="18">I35+I46+I47+I48+I49+I50</f>
        <v>0</v>
      </c>
      <c r="J34" s="69">
        <f>J35+J46+J47+J48+J49+J50</f>
        <v>774940999.34000003</v>
      </c>
      <c r="K34" s="69">
        <f t="shared" si="18"/>
        <v>700250</v>
      </c>
      <c r="L34" s="69">
        <f t="shared" si="18"/>
        <v>700250000</v>
      </c>
      <c r="M34" s="69">
        <f t="shared" si="18"/>
        <v>774495</v>
      </c>
      <c r="N34" s="69">
        <f t="shared" si="18"/>
        <v>774495000</v>
      </c>
      <c r="O34" s="6"/>
      <c r="P34" s="69">
        <f>P35+P46+P47+P48+P49+P50</f>
        <v>3542359</v>
      </c>
      <c r="Q34" s="69">
        <f t="shared" si="18"/>
        <v>771398640.34000003</v>
      </c>
      <c r="R34" s="69">
        <f t="shared" si="18"/>
        <v>3699000</v>
      </c>
      <c r="S34" s="69">
        <f t="shared" si="18"/>
        <v>696551000</v>
      </c>
      <c r="T34" s="69">
        <f t="shared" si="18"/>
        <v>3395000</v>
      </c>
      <c r="U34" s="69">
        <f t="shared" si="18"/>
        <v>771100000</v>
      </c>
    </row>
    <row r="35" spans="1:21" ht="25.95" customHeight="1" x14ac:dyDescent="0.3">
      <c r="A35" s="273" t="s">
        <v>44</v>
      </c>
      <c r="B35" s="274" t="s">
        <v>106</v>
      </c>
      <c r="C35" s="275">
        <f>SUM(C37:C45)</f>
        <v>691386</v>
      </c>
      <c r="D35" s="275">
        <f>SUM(D37:D45)</f>
        <v>0</v>
      </c>
      <c r="E35" s="276">
        <f>SUM(E37:E45)</f>
        <v>691386000</v>
      </c>
      <c r="F35" s="6">
        <f t="shared" si="9"/>
        <v>691386</v>
      </c>
      <c r="G35" s="6">
        <f>F35-C35</f>
        <v>0</v>
      </c>
      <c r="H35" s="271">
        <f t="shared" ref="H35:N35" si="19">SUM(H37:H45)</f>
        <v>739626</v>
      </c>
      <c r="I35" s="271">
        <f t="shared" si="19"/>
        <v>0</v>
      </c>
      <c r="J35" s="271">
        <f t="shared" si="19"/>
        <v>739626000</v>
      </c>
      <c r="K35" s="271">
        <f t="shared" si="19"/>
        <v>662932</v>
      </c>
      <c r="L35" s="271">
        <f t="shared" si="19"/>
        <v>662932000</v>
      </c>
      <c r="M35" s="271">
        <f t="shared" si="19"/>
        <v>736723</v>
      </c>
      <c r="N35" s="271">
        <f t="shared" si="19"/>
        <v>736723000</v>
      </c>
      <c r="O35" s="6"/>
      <c r="P35" s="271">
        <f>SUM(P37:P45)</f>
        <v>0</v>
      </c>
      <c r="Q35" s="271">
        <f t="shared" ref="Q35:U35" si="20">SUM(Q37:Q45)</f>
        <v>739626000</v>
      </c>
      <c r="R35" s="271">
        <f t="shared" si="20"/>
        <v>0</v>
      </c>
      <c r="S35" s="271">
        <f t="shared" si="20"/>
        <v>662932000</v>
      </c>
      <c r="T35" s="271">
        <f t="shared" si="20"/>
        <v>0</v>
      </c>
      <c r="U35" s="271">
        <f t="shared" si="20"/>
        <v>736723000</v>
      </c>
    </row>
    <row r="36" spans="1:21" ht="14.4" hidden="1" customHeight="1" x14ac:dyDescent="0.3">
      <c r="A36" s="273"/>
      <c r="B36" s="274"/>
      <c r="C36" s="275"/>
      <c r="D36" s="275"/>
      <c r="E36" s="276"/>
      <c r="F36" s="6">
        <f t="shared" si="9"/>
        <v>0</v>
      </c>
      <c r="G36" s="6">
        <f>F36-C36</f>
        <v>0</v>
      </c>
      <c r="H36" s="271"/>
      <c r="I36" s="271"/>
      <c r="J36" s="271"/>
      <c r="K36" s="271"/>
      <c r="L36" s="271"/>
      <c r="M36" s="271"/>
      <c r="N36" s="271"/>
      <c r="O36" s="6"/>
      <c r="P36" s="271"/>
      <c r="Q36" s="271"/>
      <c r="R36" s="271"/>
      <c r="S36" s="271"/>
      <c r="T36" s="271"/>
      <c r="U36" s="271"/>
    </row>
    <row r="37" spans="1:21" ht="61.2" customHeight="1" x14ac:dyDescent="0.3">
      <c r="A37" s="277"/>
      <c r="B37" s="71" t="s">
        <v>5</v>
      </c>
      <c r="C37" s="31">
        <v>386036</v>
      </c>
      <c r="D37" s="21"/>
      <c r="E37" s="29">
        <v>386036000</v>
      </c>
      <c r="F37" s="6">
        <f t="shared" si="9"/>
        <v>386036</v>
      </c>
      <c r="G37" s="6">
        <f t="shared" si="10"/>
        <v>0</v>
      </c>
      <c r="H37" s="68">
        <v>430728</v>
      </c>
      <c r="I37" s="68"/>
      <c r="J37" s="68">
        <f t="shared" si="14"/>
        <v>430728000</v>
      </c>
      <c r="K37" s="65">
        <v>385292</v>
      </c>
      <c r="L37" s="65">
        <f t="shared" si="15"/>
        <v>385292000</v>
      </c>
      <c r="M37" s="65">
        <v>430010</v>
      </c>
      <c r="N37" s="65">
        <f t="shared" si="16"/>
        <v>430010000</v>
      </c>
      <c r="O37" s="6" t="s">
        <v>60</v>
      </c>
      <c r="P37" s="63"/>
      <c r="Q37" s="68">
        <v>430728000</v>
      </c>
      <c r="R37" s="63"/>
      <c r="S37" s="65">
        <v>385292000</v>
      </c>
      <c r="T37" s="63"/>
      <c r="U37" s="65">
        <v>430010000</v>
      </c>
    </row>
    <row r="38" spans="1:21" ht="34.950000000000003" customHeight="1" x14ac:dyDescent="0.3">
      <c r="A38" s="277"/>
      <c r="B38" s="71" t="s">
        <v>6</v>
      </c>
      <c r="C38" s="20">
        <v>295813</v>
      </c>
      <c r="D38" s="21"/>
      <c r="E38" s="29">
        <v>295813000</v>
      </c>
      <c r="F38" s="6">
        <f t="shared" si="9"/>
        <v>295813</v>
      </c>
      <c r="G38" s="6">
        <f t="shared" si="10"/>
        <v>0</v>
      </c>
      <c r="H38" s="68">
        <v>299172</v>
      </c>
      <c r="I38" s="68"/>
      <c r="J38" s="68">
        <f t="shared" si="14"/>
        <v>299172000</v>
      </c>
      <c r="K38" s="65">
        <v>267660</v>
      </c>
      <c r="L38" s="65">
        <f t="shared" si="15"/>
        <v>267660000</v>
      </c>
      <c r="M38" s="65">
        <v>296463</v>
      </c>
      <c r="N38" s="65">
        <f t="shared" si="16"/>
        <v>296463000</v>
      </c>
      <c r="O38" s="6" t="s">
        <v>60</v>
      </c>
      <c r="P38" s="63"/>
      <c r="Q38" s="68">
        <v>299172000</v>
      </c>
      <c r="R38" s="63"/>
      <c r="S38" s="65">
        <v>267660000</v>
      </c>
      <c r="T38" s="63"/>
      <c r="U38" s="65">
        <v>296463000</v>
      </c>
    </row>
    <row r="39" spans="1:21" ht="25.2" customHeight="1" x14ac:dyDescent="0.3">
      <c r="A39" s="277"/>
      <c r="B39" s="71" t="s">
        <v>7</v>
      </c>
      <c r="C39" s="20">
        <v>6199</v>
      </c>
      <c r="D39" s="21"/>
      <c r="E39" s="29">
        <v>6199000</v>
      </c>
      <c r="F39" s="6">
        <f t="shared" si="9"/>
        <v>6199</v>
      </c>
      <c r="G39" s="6">
        <f t="shared" si="10"/>
        <v>0</v>
      </c>
      <c r="H39" s="68">
        <v>6291</v>
      </c>
      <c r="I39" s="68"/>
      <c r="J39" s="68">
        <f t="shared" si="14"/>
        <v>6291000</v>
      </c>
      <c r="K39" s="65">
        <v>6463</v>
      </c>
      <c r="L39" s="65">
        <f t="shared" si="15"/>
        <v>6463000</v>
      </c>
      <c r="M39" s="65">
        <v>6646</v>
      </c>
      <c r="N39" s="65">
        <f t="shared" si="16"/>
        <v>6646000</v>
      </c>
      <c r="O39" s="6" t="s">
        <v>60</v>
      </c>
      <c r="P39" s="63"/>
      <c r="Q39" s="68">
        <v>6291000</v>
      </c>
      <c r="R39" s="63"/>
      <c r="S39" s="65">
        <v>6463000</v>
      </c>
      <c r="T39" s="63"/>
      <c r="U39" s="65">
        <v>6646000</v>
      </c>
    </row>
    <row r="40" spans="1:21" ht="48" customHeight="1" x14ac:dyDescent="0.3">
      <c r="A40" s="277"/>
      <c r="B40" s="71" t="s">
        <v>8</v>
      </c>
      <c r="C40" s="20">
        <v>2</v>
      </c>
      <c r="D40" s="21"/>
      <c r="E40" s="29">
        <v>2000</v>
      </c>
      <c r="F40" s="6">
        <f t="shared" si="9"/>
        <v>2</v>
      </c>
      <c r="G40" s="6">
        <f t="shared" si="10"/>
        <v>0</v>
      </c>
      <c r="H40" s="68">
        <v>2</v>
      </c>
      <c r="I40" s="68"/>
      <c r="J40" s="68">
        <f t="shared" si="14"/>
        <v>2000</v>
      </c>
      <c r="K40" s="65">
        <v>2</v>
      </c>
      <c r="L40" s="65">
        <f t="shared" si="15"/>
        <v>2000</v>
      </c>
      <c r="M40" s="65">
        <v>2</v>
      </c>
      <c r="N40" s="65">
        <f t="shared" si="16"/>
        <v>2000</v>
      </c>
      <c r="O40" s="6" t="s">
        <v>61</v>
      </c>
      <c r="P40" s="63"/>
      <c r="Q40" s="68">
        <v>2000</v>
      </c>
      <c r="R40" s="63"/>
      <c r="S40" s="65">
        <v>2000</v>
      </c>
      <c r="T40" s="63"/>
      <c r="U40" s="65">
        <v>2000</v>
      </c>
    </row>
    <row r="41" spans="1:21" ht="34.950000000000003" customHeight="1" x14ac:dyDescent="0.3">
      <c r="A41" s="277"/>
      <c r="B41" s="71" t="s">
        <v>9</v>
      </c>
      <c r="C41" s="31">
        <v>558</v>
      </c>
      <c r="D41" s="21"/>
      <c r="E41" s="29">
        <v>558000</v>
      </c>
      <c r="F41" s="6">
        <f t="shared" si="9"/>
        <v>558</v>
      </c>
      <c r="G41" s="6">
        <f t="shared" si="10"/>
        <v>0</v>
      </c>
      <c r="H41" s="68">
        <v>558</v>
      </c>
      <c r="I41" s="68"/>
      <c r="J41" s="68">
        <f t="shared" si="14"/>
        <v>558000</v>
      </c>
      <c r="K41" s="65">
        <v>579</v>
      </c>
      <c r="L41" s="65">
        <f t="shared" si="15"/>
        <v>579000</v>
      </c>
      <c r="M41" s="65">
        <v>602</v>
      </c>
      <c r="N41" s="65">
        <f t="shared" si="16"/>
        <v>602000</v>
      </c>
      <c r="O41" s="6" t="s">
        <v>61</v>
      </c>
      <c r="P41" s="63"/>
      <c r="Q41" s="68">
        <v>558000</v>
      </c>
      <c r="R41" s="63"/>
      <c r="S41" s="65">
        <v>579000</v>
      </c>
      <c r="T41" s="63"/>
      <c r="U41" s="65">
        <v>602000</v>
      </c>
    </row>
    <row r="42" spans="1:21" ht="24" customHeight="1" x14ac:dyDescent="0.3">
      <c r="A42" s="277"/>
      <c r="B42" s="71" t="s">
        <v>10</v>
      </c>
      <c r="C42" s="20">
        <v>1032</v>
      </c>
      <c r="D42" s="21"/>
      <c r="E42" s="29">
        <v>1032000</v>
      </c>
      <c r="F42" s="6">
        <f t="shared" si="9"/>
        <v>1032</v>
      </c>
      <c r="G42" s="6">
        <f t="shared" si="10"/>
        <v>0</v>
      </c>
      <c r="H42" s="68">
        <v>1037</v>
      </c>
      <c r="I42" s="68"/>
      <c r="J42" s="68">
        <f t="shared" si="14"/>
        <v>1037000</v>
      </c>
      <c r="K42" s="65">
        <v>1076</v>
      </c>
      <c r="L42" s="65">
        <f t="shared" si="15"/>
        <v>1076000</v>
      </c>
      <c r="M42" s="65">
        <v>1119</v>
      </c>
      <c r="N42" s="65">
        <f t="shared" si="16"/>
        <v>1119000</v>
      </c>
      <c r="O42" s="6" t="s">
        <v>61</v>
      </c>
      <c r="P42" s="63"/>
      <c r="Q42" s="68">
        <v>1037000</v>
      </c>
      <c r="R42" s="63"/>
      <c r="S42" s="65">
        <v>1076000</v>
      </c>
      <c r="T42" s="63"/>
      <c r="U42" s="65">
        <v>1119000</v>
      </c>
    </row>
    <row r="43" spans="1:21" ht="24.6" customHeight="1" x14ac:dyDescent="0.3">
      <c r="A43" s="277"/>
      <c r="B43" s="71" t="s">
        <v>11</v>
      </c>
      <c r="C43" s="20">
        <v>542</v>
      </c>
      <c r="D43" s="21"/>
      <c r="E43" s="29">
        <v>542000</v>
      </c>
      <c r="F43" s="6">
        <f t="shared" si="9"/>
        <v>542</v>
      </c>
      <c r="G43" s="6">
        <f t="shared" si="10"/>
        <v>0</v>
      </c>
      <c r="H43" s="68">
        <v>542</v>
      </c>
      <c r="I43" s="68"/>
      <c r="J43" s="68">
        <f t="shared" si="14"/>
        <v>542000</v>
      </c>
      <c r="K43" s="65">
        <v>564</v>
      </c>
      <c r="L43" s="65">
        <f t="shared" si="15"/>
        <v>564000</v>
      </c>
      <c r="M43" s="65">
        <v>585</v>
      </c>
      <c r="N43" s="65">
        <f t="shared" si="16"/>
        <v>585000</v>
      </c>
      <c r="O43" s="6" t="s">
        <v>61</v>
      </c>
      <c r="P43" s="63"/>
      <c r="Q43" s="68">
        <v>542000</v>
      </c>
      <c r="R43" s="63"/>
      <c r="S43" s="65">
        <v>564000</v>
      </c>
      <c r="T43" s="63"/>
      <c r="U43" s="65">
        <v>585000</v>
      </c>
    </row>
    <row r="44" spans="1:21" ht="34.950000000000003" customHeight="1" x14ac:dyDescent="0.3">
      <c r="A44" s="277"/>
      <c r="B44" s="71" t="s">
        <v>12</v>
      </c>
      <c r="C44" s="20">
        <v>762</v>
      </c>
      <c r="D44" s="21"/>
      <c r="E44" s="29">
        <v>762000</v>
      </c>
      <c r="F44" s="6">
        <f t="shared" si="9"/>
        <v>762</v>
      </c>
      <c r="G44" s="6">
        <f t="shared" si="10"/>
        <v>0</v>
      </c>
      <c r="H44" s="68">
        <v>778</v>
      </c>
      <c r="I44" s="68"/>
      <c r="J44" s="68">
        <f t="shared" si="14"/>
        <v>778000</v>
      </c>
      <c r="K44" s="65">
        <v>778</v>
      </c>
      <c r="L44" s="65">
        <f t="shared" si="15"/>
        <v>778000</v>
      </c>
      <c r="M44" s="65">
        <v>778</v>
      </c>
      <c r="N44" s="65">
        <f t="shared" si="16"/>
        <v>778000</v>
      </c>
      <c r="O44" s="6" t="s">
        <v>62</v>
      </c>
      <c r="P44" s="63"/>
      <c r="Q44" s="68">
        <v>778000</v>
      </c>
      <c r="R44" s="63"/>
      <c r="S44" s="65">
        <v>778000</v>
      </c>
      <c r="T44" s="63"/>
      <c r="U44" s="65">
        <v>778000</v>
      </c>
    </row>
    <row r="45" spans="1:21" ht="40.950000000000003" customHeight="1" x14ac:dyDescent="0.3">
      <c r="A45" s="277"/>
      <c r="B45" s="42" t="s">
        <v>86</v>
      </c>
      <c r="C45" s="20">
        <v>442</v>
      </c>
      <c r="D45" s="21"/>
      <c r="E45" s="29">
        <v>442000</v>
      </c>
      <c r="F45" s="6">
        <f t="shared" si="9"/>
        <v>442</v>
      </c>
      <c r="G45" s="6">
        <f t="shared" si="10"/>
        <v>0</v>
      </c>
      <c r="H45" s="74">
        <v>518</v>
      </c>
      <c r="I45" s="74"/>
      <c r="J45" s="68">
        <f t="shared" si="14"/>
        <v>518000</v>
      </c>
      <c r="K45" s="75">
        <v>518</v>
      </c>
      <c r="L45" s="65">
        <f t="shared" si="15"/>
        <v>518000</v>
      </c>
      <c r="M45" s="75">
        <v>518</v>
      </c>
      <c r="N45" s="65">
        <f t="shared" si="16"/>
        <v>518000</v>
      </c>
      <c r="O45" s="6" t="s">
        <v>62</v>
      </c>
      <c r="P45" s="63"/>
      <c r="Q45" s="68">
        <v>518000</v>
      </c>
      <c r="R45" s="63"/>
      <c r="S45" s="65">
        <v>518000</v>
      </c>
      <c r="T45" s="63"/>
      <c r="U45" s="65">
        <v>518000</v>
      </c>
    </row>
    <row r="46" spans="1:21" ht="34.950000000000003" customHeight="1" x14ac:dyDescent="0.3">
      <c r="A46" s="70" t="s">
        <v>45</v>
      </c>
      <c r="B46" s="93" t="s">
        <v>13</v>
      </c>
      <c r="C46" s="20">
        <v>25623</v>
      </c>
      <c r="D46" s="21"/>
      <c r="E46" s="29">
        <v>25623000</v>
      </c>
      <c r="F46" s="6">
        <f t="shared" si="9"/>
        <v>25623</v>
      </c>
      <c r="G46" s="6">
        <f t="shared" si="10"/>
        <v>0</v>
      </c>
      <c r="H46" s="68">
        <v>24886</v>
      </c>
      <c r="I46" s="68"/>
      <c r="J46" s="68">
        <f t="shared" si="14"/>
        <v>24886000</v>
      </c>
      <c r="K46" s="65">
        <v>25882</v>
      </c>
      <c r="L46" s="65">
        <f t="shared" si="15"/>
        <v>25882000</v>
      </c>
      <c r="M46" s="65">
        <v>26917</v>
      </c>
      <c r="N46" s="65">
        <f t="shared" si="16"/>
        <v>26917000</v>
      </c>
      <c r="O46" s="6" t="s">
        <v>60</v>
      </c>
      <c r="P46" s="63"/>
      <c r="Q46" s="68">
        <v>24886000</v>
      </c>
      <c r="R46" s="63"/>
      <c r="S46" s="65">
        <v>25882000</v>
      </c>
      <c r="T46" s="63"/>
      <c r="U46" s="65">
        <v>26917000</v>
      </c>
    </row>
    <row r="47" spans="1:21" ht="47.4" customHeight="1" x14ac:dyDescent="0.3">
      <c r="A47" s="70" t="s">
        <v>46</v>
      </c>
      <c r="B47" s="93" t="s">
        <v>14</v>
      </c>
      <c r="C47" s="20">
        <v>3449</v>
      </c>
      <c r="D47" s="21"/>
      <c r="E47" s="29">
        <v>3449000</v>
      </c>
      <c r="F47" s="6">
        <f t="shared" si="9"/>
        <v>3449</v>
      </c>
      <c r="G47" s="6">
        <f t="shared" si="10"/>
        <v>0</v>
      </c>
      <c r="H47" s="68">
        <v>3673</v>
      </c>
      <c r="I47" s="68"/>
      <c r="J47" s="68">
        <f t="shared" si="14"/>
        <v>3673000</v>
      </c>
      <c r="K47" s="65">
        <v>3673</v>
      </c>
      <c r="L47" s="65">
        <f t="shared" si="15"/>
        <v>3673000</v>
      </c>
      <c r="M47" s="65">
        <v>3673</v>
      </c>
      <c r="N47" s="65">
        <f t="shared" si="16"/>
        <v>3673000</v>
      </c>
      <c r="O47" s="6" t="s">
        <v>60</v>
      </c>
      <c r="P47" s="63"/>
      <c r="Q47" s="68">
        <v>3673000</v>
      </c>
      <c r="R47" s="63"/>
      <c r="S47" s="65">
        <v>3673000</v>
      </c>
      <c r="T47" s="63"/>
      <c r="U47" s="65">
        <v>3673000</v>
      </c>
    </row>
    <row r="48" spans="1:21" ht="36" customHeight="1" x14ac:dyDescent="0.3">
      <c r="A48" s="70" t="s">
        <v>47</v>
      </c>
      <c r="B48" s="86" t="s">
        <v>107</v>
      </c>
      <c r="C48" s="20">
        <v>5821</v>
      </c>
      <c r="D48" s="21"/>
      <c r="E48" s="29">
        <v>5820994</v>
      </c>
      <c r="F48" s="6">
        <f t="shared" si="9"/>
        <v>5820.9939999999997</v>
      </c>
      <c r="G48" s="6">
        <f t="shared" si="10"/>
        <v>-6.0000000003128662E-3</v>
      </c>
      <c r="H48" s="74">
        <f>2835.56+2848.43</f>
        <v>5683.99</v>
      </c>
      <c r="I48" s="74"/>
      <c r="J48" s="68">
        <f>P48+Q48</f>
        <v>5683999.3399999999</v>
      </c>
      <c r="K48" s="75">
        <f>3699+3954</f>
        <v>7653</v>
      </c>
      <c r="L48" s="65">
        <f t="shared" si="15"/>
        <v>7653000</v>
      </c>
      <c r="M48" s="75">
        <f>3677+3395</f>
        <v>7072</v>
      </c>
      <c r="N48" s="65">
        <f t="shared" si="16"/>
        <v>7072000</v>
      </c>
      <c r="O48" s="6" t="s">
        <v>63</v>
      </c>
      <c r="P48" s="77">
        <f>2835559.34-255200.34</f>
        <v>2580359</v>
      </c>
      <c r="Q48" s="77">
        <f>2848440+255200.34</f>
        <v>3103640.34</v>
      </c>
      <c r="R48" s="63">
        <v>3699000</v>
      </c>
      <c r="S48" s="63">
        <v>3954000</v>
      </c>
      <c r="T48" s="63">
        <v>3395000</v>
      </c>
      <c r="U48" s="63">
        <v>3677000</v>
      </c>
    </row>
    <row r="49" spans="1:21" ht="26.4" customHeight="1" x14ac:dyDescent="0.3">
      <c r="A49" s="70" t="s">
        <v>48</v>
      </c>
      <c r="B49" s="86" t="s">
        <v>16</v>
      </c>
      <c r="C49" s="20">
        <v>145</v>
      </c>
      <c r="D49" s="21"/>
      <c r="E49" s="29">
        <v>145000</v>
      </c>
      <c r="F49" s="6">
        <f t="shared" si="9"/>
        <v>145</v>
      </c>
      <c r="G49" s="6">
        <f t="shared" si="10"/>
        <v>0</v>
      </c>
      <c r="H49" s="65">
        <v>110</v>
      </c>
      <c r="I49" s="65"/>
      <c r="J49" s="65">
        <f t="shared" si="14"/>
        <v>110000</v>
      </c>
      <c r="K49" s="65">
        <v>110</v>
      </c>
      <c r="L49" s="65">
        <f t="shared" si="15"/>
        <v>110000</v>
      </c>
      <c r="M49" s="65">
        <v>110</v>
      </c>
      <c r="N49" s="65">
        <f t="shared" si="16"/>
        <v>110000</v>
      </c>
      <c r="O49" s="6" t="s">
        <v>64</v>
      </c>
      <c r="P49" s="63"/>
      <c r="Q49" s="65">
        <v>110000</v>
      </c>
      <c r="R49" s="63"/>
      <c r="S49" s="65">
        <v>110000</v>
      </c>
      <c r="T49" s="63"/>
      <c r="U49" s="65">
        <v>110000</v>
      </c>
    </row>
    <row r="50" spans="1:21" ht="24.6" x14ac:dyDescent="0.3">
      <c r="A50" s="43" t="s">
        <v>65</v>
      </c>
      <c r="B50" s="44" t="s">
        <v>108</v>
      </c>
      <c r="C50" s="21"/>
      <c r="D50" s="21"/>
      <c r="E50" s="29"/>
      <c r="F50" s="6">
        <f t="shared" si="9"/>
        <v>0</v>
      </c>
      <c r="G50" s="6">
        <f t="shared" si="10"/>
        <v>0</v>
      </c>
      <c r="H50" s="78">
        <v>962</v>
      </c>
      <c r="I50" s="76"/>
      <c r="J50" s="68">
        <f t="shared" si="14"/>
        <v>962000</v>
      </c>
      <c r="K50" s="66"/>
      <c r="L50" s="65">
        <f t="shared" si="15"/>
        <v>0</v>
      </c>
      <c r="M50" s="66"/>
      <c r="N50" s="65">
        <f t="shared" si="16"/>
        <v>0</v>
      </c>
      <c r="O50" s="6" t="s">
        <v>61</v>
      </c>
      <c r="P50" s="77">
        <v>962000</v>
      </c>
      <c r="Q50" s="76"/>
      <c r="R50" s="63"/>
      <c r="S50" s="63"/>
      <c r="T50" s="63"/>
      <c r="U50" s="63"/>
    </row>
    <row r="51" spans="1:21" ht="48.6" x14ac:dyDescent="0.3">
      <c r="A51" s="101" t="s">
        <v>114</v>
      </c>
      <c r="B51" s="100" t="s">
        <v>115</v>
      </c>
      <c r="C51" s="21"/>
      <c r="D51" s="21"/>
      <c r="E51" s="29"/>
      <c r="F51" s="6"/>
      <c r="G51" s="6"/>
      <c r="H51" s="78">
        <v>12458</v>
      </c>
      <c r="I51" s="76">
        <v>12458</v>
      </c>
      <c r="J51" s="68">
        <f t="shared" si="14"/>
        <v>12458000</v>
      </c>
      <c r="K51" s="66"/>
      <c r="L51" s="65"/>
      <c r="M51" s="66"/>
      <c r="N51" s="65"/>
      <c r="O51" s="6"/>
      <c r="P51" s="77">
        <v>12458000</v>
      </c>
      <c r="Q51" s="76"/>
      <c r="R51" s="63"/>
      <c r="S51" s="63"/>
      <c r="T51" s="63"/>
      <c r="U51" s="63"/>
    </row>
    <row r="52" spans="1:21" ht="24.6" x14ac:dyDescent="0.3">
      <c r="A52" s="43" t="s">
        <v>73</v>
      </c>
      <c r="B52" s="44" t="s">
        <v>72</v>
      </c>
      <c r="C52" s="49"/>
      <c r="D52" s="49"/>
      <c r="E52" s="50"/>
      <c r="F52" s="51">
        <f t="shared" si="9"/>
        <v>0</v>
      </c>
      <c r="G52" s="51">
        <f t="shared" si="10"/>
        <v>0</v>
      </c>
      <c r="H52" s="66"/>
      <c r="I52" s="66"/>
      <c r="J52" s="65">
        <f t="shared" si="14"/>
        <v>0</v>
      </c>
      <c r="K52" s="66">
        <v>1000</v>
      </c>
      <c r="L52" s="65">
        <f t="shared" si="15"/>
        <v>1000000</v>
      </c>
      <c r="M52" s="66"/>
      <c r="N52" s="65">
        <f t="shared" si="16"/>
        <v>0</v>
      </c>
      <c r="O52" s="6" t="s">
        <v>64</v>
      </c>
      <c r="P52" s="63"/>
      <c r="Q52" s="63"/>
      <c r="R52" s="63">
        <v>1000000</v>
      </c>
      <c r="S52" s="63"/>
      <c r="T52" s="63"/>
      <c r="U52" s="63"/>
    </row>
    <row r="53" spans="1:21" ht="24" x14ac:dyDescent="0.3">
      <c r="A53" s="70" t="s">
        <v>49</v>
      </c>
      <c r="B53" s="10" t="s">
        <v>18</v>
      </c>
      <c r="C53" s="21">
        <f>180+360</f>
        <v>540</v>
      </c>
      <c r="D53" s="21">
        <v>360</v>
      </c>
      <c r="E53" s="29">
        <f>180000+360000</f>
        <v>540000</v>
      </c>
      <c r="F53" s="6">
        <f t="shared" si="9"/>
        <v>540</v>
      </c>
      <c r="G53" s="6">
        <f t="shared" si="10"/>
        <v>0</v>
      </c>
      <c r="H53" s="65"/>
      <c r="I53" s="65"/>
      <c r="J53" s="65">
        <f t="shared" si="14"/>
        <v>0</v>
      </c>
      <c r="K53" s="65"/>
      <c r="L53" s="65"/>
      <c r="M53" s="67"/>
      <c r="N53" s="65">
        <f t="shared" si="16"/>
        <v>0</v>
      </c>
      <c r="O53" s="6"/>
      <c r="P53" s="63"/>
      <c r="Q53" s="63"/>
      <c r="R53" s="63"/>
      <c r="S53" s="63"/>
      <c r="T53" s="63"/>
      <c r="U53" s="63"/>
    </row>
    <row r="54" spans="1:21" ht="16.95" customHeight="1" x14ac:dyDescent="0.3">
      <c r="A54" s="45" t="s">
        <v>55</v>
      </c>
      <c r="B54" s="55" t="s">
        <v>56</v>
      </c>
      <c r="C54" s="33">
        <f>3208.7+534.9</f>
        <v>3743.6</v>
      </c>
      <c r="D54" s="34"/>
      <c r="E54" s="35">
        <f>3208759+534875</f>
        <v>3743634</v>
      </c>
      <c r="F54" s="6">
        <f t="shared" si="9"/>
        <v>3743.634</v>
      </c>
      <c r="G54" s="6">
        <f t="shared" si="10"/>
        <v>3.4000000000105501E-2</v>
      </c>
      <c r="H54" s="95">
        <v>25000</v>
      </c>
      <c r="I54" s="95">
        <v>25000</v>
      </c>
      <c r="J54" s="65">
        <f t="shared" si="14"/>
        <v>25000000</v>
      </c>
      <c r="K54" s="65"/>
      <c r="L54" s="65"/>
      <c r="M54" s="65"/>
      <c r="N54" s="65">
        <f t="shared" si="16"/>
        <v>0</v>
      </c>
      <c r="O54" s="6"/>
      <c r="P54" s="63"/>
      <c r="Q54" s="63">
        <v>25000000</v>
      </c>
      <c r="R54" s="63"/>
      <c r="S54" s="63"/>
      <c r="T54" s="63"/>
      <c r="U54" s="63"/>
    </row>
    <row r="55" spans="1:21" x14ac:dyDescent="0.3">
      <c r="C55" s="22">
        <f>C6</f>
        <v>864721.7</v>
      </c>
      <c r="D55" s="22">
        <f>D6</f>
        <v>360</v>
      </c>
      <c r="E55" s="22">
        <f>E6</f>
        <v>864721718.66999996</v>
      </c>
      <c r="F55" s="22">
        <f>F6</f>
        <v>832206.21461999987</v>
      </c>
      <c r="G55" s="22">
        <f>G6</f>
        <v>0.11462000000285499</v>
      </c>
      <c r="H55" s="46"/>
      <c r="I55" s="46"/>
      <c r="J55" s="46"/>
      <c r="K55" s="46"/>
      <c r="L55" s="46"/>
      <c r="M55" s="46"/>
      <c r="N55" s="65">
        <f t="shared" si="16"/>
        <v>0</v>
      </c>
      <c r="O55" s="6"/>
      <c r="P55" s="6"/>
      <c r="Q55" s="6"/>
      <c r="R55" s="6"/>
      <c r="S55" s="6"/>
      <c r="T55" s="6"/>
      <c r="U55" s="6"/>
    </row>
    <row r="56" spans="1:21" x14ac:dyDescent="0.3">
      <c r="C56" s="6">
        <f>C6-C55</f>
        <v>0</v>
      </c>
      <c r="D56" s="6">
        <f>D6-D55</f>
        <v>0</v>
      </c>
      <c r="E56" s="6">
        <f>E6-E55</f>
        <v>0</v>
      </c>
      <c r="H56" s="46"/>
      <c r="I56" s="46"/>
      <c r="J56" s="46"/>
      <c r="K56" s="46"/>
      <c r="L56" s="46"/>
      <c r="M56" s="46"/>
      <c r="N56" s="65">
        <f t="shared" si="16"/>
        <v>0</v>
      </c>
      <c r="O56" s="6"/>
      <c r="P56" s="6"/>
      <c r="Q56" s="6"/>
      <c r="R56" s="6"/>
      <c r="S56" s="6"/>
      <c r="T56" s="6"/>
      <c r="U56" s="6"/>
    </row>
    <row r="57" spans="1:21" x14ac:dyDescent="0.3">
      <c r="A57" s="3" t="s">
        <v>71</v>
      </c>
      <c r="C57" s="6"/>
      <c r="D57" s="6"/>
      <c r="E57" s="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</row>
    <row r="58" spans="1:21" x14ac:dyDescent="0.3">
      <c r="A58" s="3" t="s">
        <v>61</v>
      </c>
      <c r="C58" s="6"/>
      <c r="D58" s="6"/>
      <c r="E58" s="6"/>
      <c r="H58" s="46">
        <f>H19+H17+H27+H28+H29+H40+H41+H42+H43+H50+H7</f>
        <v>39974</v>
      </c>
      <c r="I58" s="46"/>
      <c r="J58" s="46">
        <f t="shared" ref="J58:U58" si="21">J19+J17+J27+J28+J29+J40+J41+J42+J43+J50+J7</f>
        <v>39974000</v>
      </c>
      <c r="K58" s="46">
        <f t="shared" si="21"/>
        <v>16482</v>
      </c>
      <c r="L58" s="46">
        <f t="shared" si="21"/>
        <v>16482000</v>
      </c>
      <c r="M58" s="46">
        <f t="shared" si="21"/>
        <v>25316</v>
      </c>
      <c r="N58" s="46">
        <f t="shared" si="21"/>
        <v>25316000</v>
      </c>
      <c r="O58" s="46" t="e">
        <f t="shared" si="21"/>
        <v>#VALUE!</v>
      </c>
      <c r="P58" s="46">
        <f t="shared" si="21"/>
        <v>13566718.34</v>
      </c>
      <c r="Q58" s="46">
        <f t="shared" si="21"/>
        <v>26407281.66</v>
      </c>
      <c r="R58" s="46">
        <f t="shared" si="21"/>
        <v>13207000</v>
      </c>
      <c r="S58" s="46">
        <f t="shared" si="21"/>
        <v>3275000</v>
      </c>
      <c r="T58" s="46">
        <f t="shared" si="21"/>
        <v>21854000</v>
      </c>
      <c r="U58" s="46">
        <f t="shared" si="21"/>
        <v>3462000</v>
      </c>
    </row>
    <row r="59" spans="1:21" x14ac:dyDescent="0.3">
      <c r="A59" s="3" t="s">
        <v>63</v>
      </c>
      <c r="H59" s="46">
        <f>H48</f>
        <v>5683.99</v>
      </c>
      <c r="I59" s="46"/>
      <c r="J59" s="46">
        <f t="shared" ref="J59:U59" si="22">J48</f>
        <v>5683999.3399999999</v>
      </c>
      <c r="K59" s="46">
        <f t="shared" si="22"/>
        <v>7653</v>
      </c>
      <c r="L59" s="46">
        <f t="shared" si="22"/>
        <v>7653000</v>
      </c>
      <c r="M59" s="46">
        <f t="shared" si="22"/>
        <v>7072</v>
      </c>
      <c r="N59" s="46">
        <f t="shared" si="22"/>
        <v>7072000</v>
      </c>
      <c r="O59" s="46" t="str">
        <f t="shared" si="22"/>
        <v>дагн</v>
      </c>
      <c r="P59" s="46">
        <f t="shared" si="22"/>
        <v>2580359</v>
      </c>
      <c r="Q59" s="46">
        <f t="shared" si="22"/>
        <v>3103640.34</v>
      </c>
      <c r="R59" s="46">
        <f t="shared" si="22"/>
        <v>3699000</v>
      </c>
      <c r="S59" s="46">
        <f t="shared" si="22"/>
        <v>3954000</v>
      </c>
      <c r="T59" s="46">
        <f t="shared" si="22"/>
        <v>3395000</v>
      </c>
      <c r="U59" s="46">
        <f t="shared" si="22"/>
        <v>3677000</v>
      </c>
    </row>
    <row r="60" spans="1:21" x14ac:dyDescent="0.3">
      <c r="A60" s="3" t="s">
        <v>60</v>
      </c>
      <c r="B60" s="3">
        <f>2835560+2848781</f>
        <v>5684341</v>
      </c>
      <c r="H60" s="46">
        <f>H14+H23+H24+H26+H37+H38+H39+H46+H47</f>
        <v>769668.46</v>
      </c>
      <c r="I60" s="46"/>
      <c r="J60" s="46">
        <f t="shared" ref="J60:U60" si="23">J14+J23+J24+J26+J37+J38+J39+J46+J47</f>
        <v>769668460</v>
      </c>
      <c r="K60" s="46">
        <f t="shared" si="23"/>
        <v>698807.8</v>
      </c>
      <c r="L60" s="46">
        <f t="shared" si="23"/>
        <v>698807794</v>
      </c>
      <c r="M60" s="46">
        <f t="shared" si="23"/>
        <v>771371</v>
      </c>
      <c r="N60" s="46">
        <f t="shared" si="23"/>
        <v>771471000</v>
      </c>
      <c r="O60" s="46" t="e">
        <f t="shared" si="23"/>
        <v>#VALUE!</v>
      </c>
      <c r="P60" s="46">
        <f t="shared" si="23"/>
        <v>0</v>
      </c>
      <c r="Q60" s="46">
        <f t="shared" si="23"/>
        <v>769668460</v>
      </c>
      <c r="R60" s="46">
        <f t="shared" si="23"/>
        <v>1954013</v>
      </c>
      <c r="S60" s="46">
        <f t="shared" si="23"/>
        <v>696853781</v>
      </c>
      <c r="T60" s="46">
        <f t="shared" si="23"/>
        <v>0</v>
      </c>
      <c r="U60" s="46">
        <f t="shared" si="23"/>
        <v>771471000</v>
      </c>
    </row>
    <row r="61" spans="1:21" x14ac:dyDescent="0.3">
      <c r="A61" s="3" t="s">
        <v>64</v>
      </c>
      <c r="H61" s="46">
        <f>H18+H49+H52</f>
        <v>4134.2</v>
      </c>
      <c r="I61" s="46"/>
      <c r="J61" s="46">
        <f t="shared" ref="J61:U61" si="24">J18+J49+J52</f>
        <v>4134176</v>
      </c>
      <c r="K61" s="46">
        <f t="shared" si="24"/>
        <v>1110</v>
      </c>
      <c r="L61" s="46">
        <f t="shared" si="24"/>
        <v>1110000</v>
      </c>
      <c r="M61" s="46">
        <f t="shared" si="24"/>
        <v>110</v>
      </c>
      <c r="N61" s="46">
        <f t="shared" si="24"/>
        <v>110000</v>
      </c>
      <c r="O61" s="46" t="e">
        <f t="shared" si="24"/>
        <v>#VALUE!</v>
      </c>
      <c r="P61" s="46">
        <f t="shared" si="24"/>
        <v>3662000</v>
      </c>
      <c r="Q61" s="46">
        <f t="shared" si="24"/>
        <v>472176</v>
      </c>
      <c r="R61" s="46">
        <f t="shared" si="24"/>
        <v>1000000</v>
      </c>
      <c r="S61" s="46">
        <f t="shared" si="24"/>
        <v>110000</v>
      </c>
      <c r="T61" s="46">
        <f t="shared" si="24"/>
        <v>0</v>
      </c>
      <c r="U61" s="46">
        <f t="shared" si="24"/>
        <v>110000</v>
      </c>
    </row>
    <row r="62" spans="1:21" x14ac:dyDescent="0.3">
      <c r="A62" s="3" t="s">
        <v>62</v>
      </c>
      <c r="H62" s="46">
        <f>H11+H20+H15+H44+H45</f>
        <v>42332</v>
      </c>
      <c r="I62" s="46"/>
      <c r="J62" s="46">
        <f t="shared" ref="J62:U62" si="25">J11+J20+J15+J44+J45</f>
        <v>42331993.789999999</v>
      </c>
      <c r="K62" s="46">
        <f t="shared" si="25"/>
        <v>37407.4</v>
      </c>
      <c r="L62" s="46">
        <f t="shared" si="25"/>
        <v>37407435.07</v>
      </c>
      <c r="M62" s="46">
        <f t="shared" si="25"/>
        <v>39439.599999999999</v>
      </c>
      <c r="N62" s="46">
        <f t="shared" si="25"/>
        <v>39439631.760000005</v>
      </c>
      <c r="O62" s="46" t="e">
        <f t="shared" si="25"/>
        <v>#VALUE!</v>
      </c>
      <c r="P62" s="46">
        <f t="shared" si="25"/>
        <v>17004233.859999999</v>
      </c>
      <c r="Q62" s="46">
        <f t="shared" si="25"/>
        <v>25327759.93</v>
      </c>
      <c r="R62" s="46">
        <f t="shared" si="25"/>
        <v>17930239.969999999</v>
      </c>
      <c r="S62" s="46">
        <f t="shared" si="25"/>
        <v>19477195.100000001</v>
      </c>
      <c r="T62" s="46">
        <f t="shared" si="25"/>
        <v>19767211.280000001</v>
      </c>
      <c r="U62" s="46">
        <f t="shared" si="25"/>
        <v>19672420.48</v>
      </c>
    </row>
    <row r="63" spans="1:21" hidden="1" x14ac:dyDescent="0.3"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</row>
    <row r="64" spans="1:21" x14ac:dyDescent="0.3">
      <c r="H64" s="53">
        <f>SUM(H57:H63)</f>
        <v>861792.64999999991</v>
      </c>
      <c r="I64" s="53"/>
      <c r="J64" s="53">
        <f t="shared" ref="J64:U64" si="26">SUM(J57:J63)</f>
        <v>861792629.13</v>
      </c>
      <c r="K64" s="53">
        <f t="shared" si="26"/>
        <v>761460.20000000007</v>
      </c>
      <c r="L64" s="53">
        <f t="shared" si="26"/>
        <v>761460229.07000005</v>
      </c>
      <c r="M64" s="53">
        <f t="shared" si="26"/>
        <v>843308.6</v>
      </c>
      <c r="N64" s="53">
        <f t="shared" si="26"/>
        <v>843408631.75999999</v>
      </c>
      <c r="O64" s="53" t="e">
        <f t="shared" si="26"/>
        <v>#VALUE!</v>
      </c>
      <c r="P64" s="53">
        <f t="shared" si="26"/>
        <v>36813311.200000003</v>
      </c>
      <c r="Q64" s="53">
        <f t="shared" si="26"/>
        <v>824979317.92999995</v>
      </c>
      <c r="R64" s="53">
        <f t="shared" si="26"/>
        <v>37790252.969999999</v>
      </c>
      <c r="S64" s="53">
        <f t="shared" si="26"/>
        <v>723669976.10000002</v>
      </c>
      <c r="T64" s="53">
        <f t="shared" si="26"/>
        <v>45016211.280000001</v>
      </c>
      <c r="U64" s="53">
        <f t="shared" si="26"/>
        <v>798392420.48000002</v>
      </c>
    </row>
    <row r="65" spans="1:21" hidden="1" x14ac:dyDescent="0.3"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</row>
    <row r="66" spans="1:21" hidden="1" x14ac:dyDescent="0.3"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</row>
    <row r="67" spans="1:21" x14ac:dyDescent="0.3">
      <c r="A67" s="3">
        <v>0</v>
      </c>
      <c r="H67" s="46">
        <f>H64-H5</f>
        <v>-71643.470000000088</v>
      </c>
      <c r="I67" s="46"/>
      <c r="J67" s="46">
        <f>J64-J5</f>
        <v>-71643475.000000119</v>
      </c>
      <c r="K67" s="46">
        <f t="shared" ref="K67:U67" si="27">K64-K5</f>
        <v>0</v>
      </c>
      <c r="L67" s="46">
        <f t="shared" si="27"/>
        <v>0</v>
      </c>
      <c r="M67" s="46">
        <f t="shared" si="27"/>
        <v>0</v>
      </c>
      <c r="N67" s="46">
        <f t="shared" si="27"/>
        <v>0</v>
      </c>
      <c r="O67" s="46" t="e">
        <f t="shared" si="27"/>
        <v>#VALUE!</v>
      </c>
      <c r="P67" s="46">
        <f t="shared" si="27"/>
        <v>-25254415</v>
      </c>
      <c r="Q67" s="46">
        <f t="shared" si="27"/>
        <v>-46389060.000000119</v>
      </c>
      <c r="R67" s="46">
        <f t="shared" si="27"/>
        <v>1000000</v>
      </c>
      <c r="S67" s="46">
        <f t="shared" si="27"/>
        <v>0</v>
      </c>
      <c r="T67" s="46">
        <f t="shared" si="27"/>
        <v>0</v>
      </c>
      <c r="U67" s="46">
        <f t="shared" si="27"/>
        <v>0</v>
      </c>
    </row>
  </sheetData>
  <mergeCells count="22">
    <mergeCell ref="A37:A45"/>
    <mergeCell ref="M35:M36"/>
    <mergeCell ref="K35:K36"/>
    <mergeCell ref="J35:J36"/>
    <mergeCell ref="L35:L36"/>
    <mergeCell ref="I35:I36"/>
    <mergeCell ref="U35:U36"/>
    <mergeCell ref="H35:H36"/>
    <mergeCell ref="A1:E1"/>
    <mergeCell ref="A2:E2"/>
    <mergeCell ref="A3:E3"/>
    <mergeCell ref="A35:A36"/>
    <mergeCell ref="B35:B36"/>
    <mergeCell ref="C35:C36"/>
    <mergeCell ref="D35:D36"/>
    <mergeCell ref="E35:E36"/>
    <mergeCell ref="P35:P36"/>
    <mergeCell ref="Q35:Q36"/>
    <mergeCell ref="R35:R36"/>
    <mergeCell ref="S35:S36"/>
    <mergeCell ref="T35:T36"/>
    <mergeCell ref="N35:N36"/>
  </mergeCells>
  <pageMargins left="0" right="0" top="0" bottom="0" header="0.31496062992125984" footer="0.31496062992125984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E86"/>
  <sheetViews>
    <sheetView workbookViewId="0">
      <pane xSplit="7" ySplit="4" topLeftCell="L5" activePane="bottomRight" state="frozen"/>
      <selection pane="topRight" activeCell="H1" sqref="H1"/>
      <selection pane="bottomLeft" activeCell="A5" sqref="A5"/>
      <selection pane="bottomRight" activeCell="AD22" sqref="AD22"/>
    </sheetView>
  </sheetViews>
  <sheetFormatPr defaultColWidth="8.88671875" defaultRowHeight="14.4" x14ac:dyDescent="0.3"/>
  <cols>
    <col min="1" max="1" width="20.6640625" style="3" customWidth="1"/>
    <col min="2" max="2" width="41.6640625" style="3" customWidth="1"/>
    <col min="3" max="3" width="17.88671875" style="3" hidden="1" customWidth="1"/>
    <col min="4" max="4" width="16.109375" style="3" hidden="1" customWidth="1"/>
    <col min="5" max="5" width="18.5546875" style="3" hidden="1" customWidth="1"/>
    <col min="6" max="6" width="11.6640625" style="3" hidden="1" customWidth="1"/>
    <col min="7" max="7" width="11" style="3" hidden="1" customWidth="1"/>
    <col min="8" max="10" width="14.33203125" style="3" hidden="1" customWidth="1"/>
    <col min="11" max="11" width="13.6640625" style="3" hidden="1" customWidth="1"/>
    <col min="12" max="12" width="14.88671875" style="3" customWidth="1"/>
    <col min="13" max="15" width="14.88671875" style="3" hidden="1" customWidth="1"/>
    <col min="16" max="16" width="8.109375" style="3" hidden="1" customWidth="1"/>
    <col min="17" max="18" width="14.88671875" style="3" customWidth="1"/>
    <col min="19" max="22" width="14.88671875" style="3" hidden="1" customWidth="1"/>
    <col min="23" max="23" width="0" style="3" hidden="1" customWidth="1"/>
    <col min="24" max="24" width="14.44140625" style="3" hidden="1" customWidth="1"/>
    <col min="25" max="25" width="15.6640625" style="102" hidden="1" customWidth="1"/>
    <col min="26" max="26" width="13.33203125" style="3" hidden="1" customWidth="1"/>
    <col min="27" max="27" width="14.6640625" style="102" hidden="1" customWidth="1"/>
    <col min="28" max="28" width="13.6640625" style="3" hidden="1" customWidth="1"/>
    <col min="29" max="29" width="15.33203125" style="102" hidden="1" customWidth="1"/>
    <col min="30" max="30" width="15.109375" style="3" customWidth="1"/>
    <col min="31" max="31" width="24.109375" style="3" customWidth="1"/>
    <col min="32" max="16384" width="8.88671875" style="3"/>
  </cols>
  <sheetData>
    <row r="1" spans="1:31" ht="12" customHeight="1" x14ac:dyDescent="0.3">
      <c r="A1" s="272" t="s">
        <v>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189"/>
      <c r="V1" s="189"/>
    </row>
    <row r="2" spans="1:31" ht="12" customHeight="1" x14ac:dyDescent="0.3">
      <c r="A2" s="272" t="s">
        <v>1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189"/>
      <c r="V2" s="189"/>
    </row>
    <row r="3" spans="1:31" ht="12" customHeight="1" x14ac:dyDescent="0.3">
      <c r="A3" s="278" t="s">
        <v>171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191"/>
      <c r="V3" s="191"/>
      <c r="W3" s="167" t="s">
        <v>135</v>
      </c>
    </row>
    <row r="4" spans="1:31" ht="28.8" x14ac:dyDescent="0.3">
      <c r="A4" s="119" t="s">
        <v>74</v>
      </c>
      <c r="B4" s="119" t="s">
        <v>2</v>
      </c>
      <c r="C4" s="119" t="s">
        <v>34</v>
      </c>
      <c r="D4" s="119" t="s">
        <v>17</v>
      </c>
      <c r="E4" s="119" t="s">
        <v>35</v>
      </c>
      <c r="F4" s="192"/>
      <c r="G4" s="192"/>
      <c r="H4" s="126">
        <v>2020</v>
      </c>
      <c r="I4" s="126">
        <v>2020</v>
      </c>
      <c r="J4" s="126">
        <v>2021</v>
      </c>
      <c r="K4" s="126">
        <v>2021</v>
      </c>
      <c r="L4" s="193">
        <v>2022</v>
      </c>
      <c r="M4" s="193" t="s">
        <v>117</v>
      </c>
      <c r="N4" s="193">
        <v>2022</v>
      </c>
      <c r="O4" s="193"/>
      <c r="P4" s="193"/>
      <c r="Q4" s="194" t="s">
        <v>172</v>
      </c>
      <c r="R4" s="194" t="s">
        <v>173</v>
      </c>
      <c r="S4" s="194" t="s">
        <v>177</v>
      </c>
      <c r="T4" s="194">
        <v>2024</v>
      </c>
      <c r="U4" s="194" t="s">
        <v>178</v>
      </c>
      <c r="V4" s="194">
        <v>2025</v>
      </c>
      <c r="W4" s="192"/>
      <c r="X4" s="195" t="s">
        <v>121</v>
      </c>
      <c r="Y4" s="196" t="s">
        <v>122</v>
      </c>
      <c r="Z4" s="195" t="s">
        <v>129</v>
      </c>
      <c r="AA4" s="196" t="s">
        <v>130</v>
      </c>
      <c r="AB4" s="195" t="s">
        <v>159</v>
      </c>
      <c r="AC4" s="196" t="s">
        <v>158</v>
      </c>
      <c r="AD4" s="126" t="s">
        <v>176</v>
      </c>
      <c r="AE4" s="8" t="s">
        <v>179</v>
      </c>
    </row>
    <row r="5" spans="1:31" x14ac:dyDescent="0.3">
      <c r="A5" s="171" t="s">
        <v>57</v>
      </c>
      <c r="B5" s="113" t="s">
        <v>58</v>
      </c>
      <c r="C5" s="16">
        <f t="shared" ref="C5:K5" si="0">C6-C65</f>
        <v>860978.1</v>
      </c>
      <c r="D5" s="16">
        <f t="shared" si="0"/>
        <v>360</v>
      </c>
      <c r="E5" s="16">
        <f t="shared" si="0"/>
        <v>860978084.66999996</v>
      </c>
      <c r="F5" s="16">
        <f t="shared" si="0"/>
        <v>828462.58061999991</v>
      </c>
      <c r="G5" s="16">
        <f t="shared" si="0"/>
        <v>8.0620000002749492E-2</v>
      </c>
      <c r="H5" s="16">
        <f t="shared" si="0"/>
        <v>609278</v>
      </c>
      <c r="I5" s="16">
        <f t="shared" si="0"/>
        <v>836100</v>
      </c>
      <c r="J5" s="16">
        <f t="shared" si="0"/>
        <v>696541</v>
      </c>
      <c r="K5" s="130">
        <f t="shared" si="0"/>
        <v>545714</v>
      </c>
      <c r="L5" s="25">
        <f>L6+L65</f>
        <v>1081358873.6700001</v>
      </c>
      <c r="M5" s="25">
        <f>M6-M65</f>
        <v>1040770159.67</v>
      </c>
      <c r="N5" s="25">
        <f>N6-N65</f>
        <v>417935</v>
      </c>
      <c r="O5" s="25"/>
      <c r="P5" s="25"/>
      <c r="Q5" s="25">
        <f>Q6</f>
        <v>842620560.78999996</v>
      </c>
      <c r="R5" s="25">
        <f>R6-R65</f>
        <v>1182100694.22</v>
      </c>
      <c r="S5" s="25">
        <f>S6-S65</f>
        <v>982846560.78999996</v>
      </c>
      <c r="T5" s="25">
        <f>T6-T65</f>
        <v>1151657119.29</v>
      </c>
      <c r="U5" s="25">
        <f>U6-U65</f>
        <v>1078185008</v>
      </c>
      <c r="V5" s="25">
        <f>V6-V65</f>
        <v>1261033578.75</v>
      </c>
      <c r="W5" s="197"/>
      <c r="X5" s="25">
        <f t="shared" ref="X5:AC5" si="1">X6-X65</f>
        <v>112320435.97</v>
      </c>
      <c r="Y5" s="25">
        <f t="shared" si="1"/>
        <v>1069780258.25</v>
      </c>
      <c r="Z5" s="25">
        <f t="shared" si="1"/>
        <v>137332001.74000001</v>
      </c>
      <c r="AA5" s="25">
        <f t="shared" si="1"/>
        <v>1014325117.55</v>
      </c>
      <c r="AB5" s="25">
        <f t="shared" si="1"/>
        <v>91214597.890000001</v>
      </c>
      <c r="AC5" s="25">
        <f t="shared" si="1"/>
        <v>1169818980.8599999</v>
      </c>
      <c r="AD5" s="197">
        <f>R5-Q5</f>
        <v>339480133.43000007</v>
      </c>
      <c r="AE5" s="8"/>
    </row>
    <row r="6" spans="1:31" ht="24" x14ac:dyDescent="0.3">
      <c r="A6" s="171" t="s">
        <v>22</v>
      </c>
      <c r="B6" s="165" t="s">
        <v>23</v>
      </c>
      <c r="C6" s="16">
        <f>C10+C42+C64+C7+C65</f>
        <v>864721.7</v>
      </c>
      <c r="D6" s="16">
        <f>D10+D42+D64+D7+D65</f>
        <v>360</v>
      </c>
      <c r="E6" s="16">
        <f>E10+E42+E64+E7+E65</f>
        <v>864721718.66999996</v>
      </c>
      <c r="F6" s="16">
        <f>F10+F42+F64+F7+F65</f>
        <v>832206.21461999987</v>
      </c>
      <c r="G6" s="16">
        <f>G10+G42+G64+G7+G65</f>
        <v>0.11462000000285499</v>
      </c>
      <c r="H6" s="16">
        <f>H10+H42+H64+H7+H65+H63</f>
        <v>609278</v>
      </c>
      <c r="I6" s="16">
        <f>I10+I42+I64+I7+I65+I63</f>
        <v>836100</v>
      </c>
      <c r="J6" s="16">
        <f>J10+J42+J64+J7+J65+J63</f>
        <v>696541</v>
      </c>
      <c r="K6" s="130">
        <f>K42</f>
        <v>545714</v>
      </c>
      <c r="L6" s="25">
        <f>L10+L42+L64+L7+L63+L61</f>
        <v>1081234873.6700001</v>
      </c>
      <c r="M6" s="25">
        <f>M10+M42+M64+M7+M65+M63+M61</f>
        <v>1040770159.67</v>
      </c>
      <c r="N6" s="25">
        <f>N10+N42+N64+N7+N65+N63+N61</f>
        <v>417935</v>
      </c>
      <c r="O6" s="25"/>
      <c r="P6" s="25"/>
      <c r="Q6" s="25">
        <f t="shared" ref="Q6:V6" si="2">Q10+Q42+Q64+Q7+Q65+Q63+Q61</f>
        <v>842620560.78999996</v>
      </c>
      <c r="R6" s="25">
        <f t="shared" si="2"/>
        <v>1182100694.22</v>
      </c>
      <c r="S6" s="25">
        <f t="shared" si="2"/>
        <v>982846560.78999996</v>
      </c>
      <c r="T6" s="25">
        <f t="shared" si="2"/>
        <v>1151657119.29</v>
      </c>
      <c r="U6" s="25">
        <f t="shared" si="2"/>
        <v>1078185008</v>
      </c>
      <c r="V6" s="25">
        <f t="shared" si="2"/>
        <v>1261033578.75</v>
      </c>
      <c r="W6" s="197"/>
      <c r="X6" s="25">
        <f t="shared" ref="X6:AC6" si="3">X10+X42+X64+X7+X65+X63+X61</f>
        <v>112320435.97</v>
      </c>
      <c r="Y6" s="25">
        <f t="shared" si="3"/>
        <v>1069780258.25</v>
      </c>
      <c r="Z6" s="25">
        <f t="shared" si="3"/>
        <v>137332001.74000001</v>
      </c>
      <c r="AA6" s="25">
        <f t="shared" si="3"/>
        <v>1014325117.55</v>
      </c>
      <c r="AB6" s="25">
        <f t="shared" si="3"/>
        <v>91214597.890000001</v>
      </c>
      <c r="AC6" s="25">
        <f t="shared" si="3"/>
        <v>1169818980.8599999</v>
      </c>
      <c r="AD6" s="197">
        <f t="shared" ref="AD6:AD62" si="4">R6-Q6</f>
        <v>339480133.43000007</v>
      </c>
      <c r="AE6" s="8"/>
    </row>
    <row r="7" spans="1:31" ht="24" x14ac:dyDescent="0.3">
      <c r="A7" s="171" t="s">
        <v>36</v>
      </c>
      <c r="B7" s="165" t="s">
        <v>26</v>
      </c>
      <c r="C7" s="16">
        <f>C9</f>
        <v>34649</v>
      </c>
      <c r="D7" s="16">
        <f>D9</f>
        <v>0</v>
      </c>
      <c r="E7" s="16">
        <f>E9</f>
        <v>34649000</v>
      </c>
      <c r="F7" s="16">
        <f>F9</f>
        <v>34649</v>
      </c>
      <c r="G7" s="16">
        <f>G9</f>
        <v>0</v>
      </c>
      <c r="H7" s="16">
        <f t="shared" ref="H7:K7" si="5">H9+H8</f>
        <v>1186</v>
      </c>
      <c r="I7" s="16">
        <f t="shared" si="5"/>
        <v>1823</v>
      </c>
      <c r="J7" s="16">
        <f t="shared" si="5"/>
        <v>0</v>
      </c>
      <c r="K7" s="130">
        <f t="shared" si="5"/>
        <v>0</v>
      </c>
      <c r="L7" s="198">
        <f>SUM(L8:L9)</f>
        <v>53770000</v>
      </c>
      <c r="M7" s="25">
        <f t="shared" ref="M7:U7" si="6">M8+M9</f>
        <v>53770000</v>
      </c>
      <c r="N7" s="25">
        <f t="shared" si="6"/>
        <v>0</v>
      </c>
      <c r="O7" s="25"/>
      <c r="P7" s="25"/>
      <c r="Q7" s="25">
        <f>Q8+Q9</f>
        <v>0</v>
      </c>
      <c r="R7" s="25">
        <f>X7+Y7</f>
        <v>18077000</v>
      </c>
      <c r="S7" s="25">
        <v>0</v>
      </c>
      <c r="T7" s="25">
        <f>Z7+AA7</f>
        <v>0</v>
      </c>
      <c r="U7" s="25">
        <f t="shared" si="6"/>
        <v>0</v>
      </c>
      <c r="V7" s="25">
        <f>AB7+AC7</f>
        <v>0</v>
      </c>
      <c r="W7" s="199">
        <v>0</v>
      </c>
      <c r="X7" s="25">
        <f t="shared" ref="X7:AB7" si="7">X9+X8</f>
        <v>0</v>
      </c>
      <c r="Y7" s="25">
        <f t="shared" ref="Y7" si="8">Y8+Y9</f>
        <v>18077000</v>
      </c>
      <c r="Z7" s="25">
        <f t="shared" si="7"/>
        <v>0</v>
      </c>
      <c r="AA7" s="25">
        <f t="shared" ref="AA7" si="9">AA8+AA9</f>
        <v>0</v>
      </c>
      <c r="AB7" s="25">
        <f t="shared" si="7"/>
        <v>0</v>
      </c>
      <c r="AC7" s="25">
        <f t="shared" ref="AC7" si="10">AC8+AC9</f>
        <v>0</v>
      </c>
      <c r="AD7" s="197">
        <f t="shared" si="4"/>
        <v>18077000</v>
      </c>
      <c r="AE7" s="8"/>
    </row>
    <row r="8" spans="1:31" ht="24" x14ac:dyDescent="0.3">
      <c r="A8" s="171" t="s">
        <v>76</v>
      </c>
      <c r="B8" s="165" t="s">
        <v>75</v>
      </c>
      <c r="C8" s="16"/>
      <c r="D8" s="16"/>
      <c r="E8" s="16"/>
      <c r="F8" s="125"/>
      <c r="G8" s="125"/>
      <c r="H8" s="114">
        <v>1186</v>
      </c>
      <c r="I8" s="114">
        <v>1186</v>
      </c>
      <c r="J8" s="16"/>
      <c r="K8" s="130">
        <v>0</v>
      </c>
      <c r="L8" s="198">
        <v>27556000</v>
      </c>
      <c r="M8" s="198">
        <f t="shared" ref="M8:M9" si="11">L8-K8</f>
        <v>27556000</v>
      </c>
      <c r="N8" s="25">
        <v>0</v>
      </c>
      <c r="O8" s="25"/>
      <c r="P8" s="25"/>
      <c r="Q8" s="25">
        <v>0</v>
      </c>
      <c r="R8" s="25">
        <f t="shared" ref="R8:R61" si="12">X8+Y8</f>
        <v>0</v>
      </c>
      <c r="S8" s="25">
        <v>0</v>
      </c>
      <c r="T8" s="25">
        <f t="shared" ref="T8:T65" si="13">Z8+AA8</f>
        <v>0</v>
      </c>
      <c r="U8" s="25"/>
      <c r="V8" s="25">
        <f t="shared" ref="V8:V65" si="14">AB8+AC8</f>
        <v>0</v>
      </c>
      <c r="W8" s="199">
        <v>903</v>
      </c>
      <c r="X8" s="197"/>
      <c r="Y8" s="25"/>
      <c r="Z8" s="197"/>
      <c r="AA8" s="25"/>
      <c r="AB8" s="197"/>
      <c r="AC8" s="25"/>
      <c r="AD8" s="197">
        <f t="shared" si="4"/>
        <v>0</v>
      </c>
      <c r="AE8" s="8"/>
    </row>
    <row r="9" spans="1:31" ht="16.95" customHeight="1" x14ac:dyDescent="0.3">
      <c r="A9" s="115" t="s">
        <v>148</v>
      </c>
      <c r="B9" s="30" t="s">
        <v>149</v>
      </c>
      <c r="C9" s="16">
        <f>9649+25000</f>
        <v>34649</v>
      </c>
      <c r="D9" s="16"/>
      <c r="E9" s="25">
        <f>9649000+25000000</f>
        <v>34649000</v>
      </c>
      <c r="F9" s="116">
        <f t="shared" ref="F9:F64" si="15">E9/1000</f>
        <v>34649</v>
      </c>
      <c r="G9" s="116">
        <f t="shared" ref="G9:G64" si="16">F9-C9</f>
        <v>0</v>
      </c>
      <c r="H9" s="114"/>
      <c r="I9" s="114">
        <v>637</v>
      </c>
      <c r="J9" s="114">
        <v>0</v>
      </c>
      <c r="K9" s="131">
        <v>0</v>
      </c>
      <c r="L9" s="198">
        <v>26214000</v>
      </c>
      <c r="M9" s="198">
        <f t="shared" si="11"/>
        <v>26214000</v>
      </c>
      <c r="N9" s="198">
        <v>0</v>
      </c>
      <c r="O9" s="198"/>
      <c r="P9" s="198"/>
      <c r="Q9" s="198"/>
      <c r="R9" s="25">
        <f t="shared" si="12"/>
        <v>18077000</v>
      </c>
      <c r="S9" s="198">
        <v>0</v>
      </c>
      <c r="T9" s="25">
        <f t="shared" si="13"/>
        <v>0</v>
      </c>
      <c r="U9" s="198"/>
      <c r="V9" s="25">
        <f t="shared" si="14"/>
        <v>0</v>
      </c>
      <c r="W9" s="199">
        <v>903</v>
      </c>
      <c r="X9" s="197"/>
      <c r="Y9" s="198">
        <v>18077000</v>
      </c>
      <c r="Z9" s="197"/>
      <c r="AA9" s="198"/>
      <c r="AB9" s="197"/>
      <c r="AC9" s="198"/>
      <c r="AD9" s="197">
        <f t="shared" si="4"/>
        <v>18077000</v>
      </c>
      <c r="AE9" s="8"/>
    </row>
    <row r="10" spans="1:31" ht="15.6" customHeight="1" x14ac:dyDescent="0.3">
      <c r="A10" s="171" t="s">
        <v>37</v>
      </c>
      <c r="B10" s="165" t="s">
        <v>25</v>
      </c>
      <c r="C10" s="16">
        <f t="shared" ref="C10:J10" si="17">SUM(C11:C26)</f>
        <v>99365.099999999991</v>
      </c>
      <c r="D10" s="16">
        <f t="shared" si="17"/>
        <v>0</v>
      </c>
      <c r="E10" s="16">
        <f t="shared" si="17"/>
        <v>99365090.670000002</v>
      </c>
      <c r="F10" s="16">
        <f t="shared" si="17"/>
        <v>66849.586620000002</v>
      </c>
      <c r="G10" s="16">
        <f t="shared" si="17"/>
        <v>8.6620000003062358E-2</v>
      </c>
      <c r="H10" s="16">
        <f t="shared" si="17"/>
        <v>0</v>
      </c>
      <c r="I10" s="16">
        <f>SUM(I11:I26)</f>
        <v>59336</v>
      </c>
      <c r="J10" s="16">
        <f t="shared" si="17"/>
        <v>0</v>
      </c>
      <c r="K10" s="130">
        <v>0</v>
      </c>
      <c r="L10" s="25">
        <f>SUM(L11:L26)</f>
        <v>88311273.670000002</v>
      </c>
      <c r="M10" s="25">
        <f>SUM(M11:M26)</f>
        <v>88301273.670000002</v>
      </c>
      <c r="N10" s="25">
        <f>SUM(N11:N26)</f>
        <v>2</v>
      </c>
      <c r="O10" s="25"/>
      <c r="P10" s="25"/>
      <c r="Q10" s="25">
        <f>SUM(Q11:Q26)</f>
        <v>91677160.789999992</v>
      </c>
      <c r="R10" s="25">
        <f t="shared" si="12"/>
        <v>154805072.22</v>
      </c>
      <c r="S10" s="25">
        <v>91677160.789999992</v>
      </c>
      <c r="T10" s="25">
        <f t="shared" si="13"/>
        <v>148159118.28999999</v>
      </c>
      <c r="U10" s="25">
        <f>SUM(U11:U26)</f>
        <v>59205008</v>
      </c>
      <c r="V10" s="25">
        <f t="shared" si="14"/>
        <v>102657764.75</v>
      </c>
      <c r="W10" s="199"/>
      <c r="X10" s="25">
        <f>SUM(X11:X26)</f>
        <v>70005813.969999999</v>
      </c>
      <c r="Y10" s="25">
        <f>SUM(Y11:Y26)</f>
        <v>84799258.25</v>
      </c>
      <c r="Z10" s="25">
        <f>SUM(Z11:Z26)</f>
        <v>84122000.739999995</v>
      </c>
      <c r="AA10" s="25">
        <f>SUM(AA11:AA26)</f>
        <v>64037117.550000004</v>
      </c>
      <c r="AB10" s="25">
        <f t="shared" ref="AB10:AC10" si="18">SUM(AB11:AB26)</f>
        <v>37327783.890000001</v>
      </c>
      <c r="AC10" s="25">
        <f t="shared" si="18"/>
        <v>65329980.859999999</v>
      </c>
      <c r="AD10" s="197">
        <f t="shared" si="4"/>
        <v>63127911.430000007</v>
      </c>
      <c r="AE10" s="8"/>
    </row>
    <row r="11" spans="1:31" ht="231" customHeight="1" x14ac:dyDescent="0.3">
      <c r="A11" s="115" t="s">
        <v>66</v>
      </c>
      <c r="B11" s="30" t="s">
        <v>154</v>
      </c>
      <c r="C11" s="16">
        <v>29411</v>
      </c>
      <c r="D11" s="16"/>
      <c r="E11" s="25">
        <v>29411000</v>
      </c>
      <c r="F11" s="116">
        <f t="shared" si="15"/>
        <v>29411</v>
      </c>
      <c r="G11" s="116">
        <f t="shared" si="16"/>
        <v>0</v>
      </c>
      <c r="H11" s="114"/>
      <c r="I11" s="114">
        <v>23860</v>
      </c>
      <c r="J11" s="114"/>
      <c r="K11" s="131">
        <v>0</v>
      </c>
      <c r="L11" s="198">
        <v>23000000</v>
      </c>
      <c r="M11" s="198">
        <f t="shared" ref="M11:M41" si="19">L11-K11</f>
        <v>23000000</v>
      </c>
      <c r="N11" s="198">
        <v>0</v>
      </c>
      <c r="O11" s="198"/>
      <c r="P11" s="198"/>
      <c r="Q11" s="198">
        <v>30000000</v>
      </c>
      <c r="R11" s="25">
        <f t="shared" si="12"/>
        <v>34500000</v>
      </c>
      <c r="S11" s="198">
        <v>30000000</v>
      </c>
      <c r="T11" s="25">
        <f t="shared" si="13"/>
        <v>30000000</v>
      </c>
      <c r="U11" s="198">
        <v>30000000</v>
      </c>
      <c r="V11" s="25">
        <f t="shared" si="14"/>
        <v>30000000</v>
      </c>
      <c r="W11" s="199">
        <v>905</v>
      </c>
      <c r="X11" s="197"/>
      <c r="Y11" s="198">
        <f>30000000+4500000</f>
        <v>34500000</v>
      </c>
      <c r="Z11" s="197"/>
      <c r="AA11" s="198">
        <v>30000000</v>
      </c>
      <c r="AB11" s="197"/>
      <c r="AC11" s="198">
        <v>30000000</v>
      </c>
      <c r="AD11" s="197">
        <f t="shared" si="4"/>
        <v>4500000</v>
      </c>
      <c r="AE11" s="204" t="s">
        <v>188</v>
      </c>
    </row>
    <row r="12" spans="1:31" ht="180" customHeight="1" x14ac:dyDescent="0.3">
      <c r="A12" s="115" t="s">
        <v>118</v>
      </c>
      <c r="B12" s="30" t="s">
        <v>119</v>
      </c>
      <c r="C12" s="16"/>
      <c r="D12" s="16"/>
      <c r="E12" s="25"/>
      <c r="F12" s="116"/>
      <c r="G12" s="116"/>
      <c r="H12" s="114"/>
      <c r="I12" s="114">
        <v>0</v>
      </c>
      <c r="J12" s="114"/>
      <c r="K12" s="131">
        <v>0</v>
      </c>
      <c r="L12" s="198"/>
      <c r="M12" s="198">
        <f t="shared" si="19"/>
        <v>0</v>
      </c>
      <c r="N12" s="198">
        <v>0</v>
      </c>
      <c r="O12" s="198"/>
      <c r="P12" s="198"/>
      <c r="Q12" s="198">
        <v>1471000</v>
      </c>
      <c r="R12" s="25">
        <f t="shared" si="12"/>
        <v>11250000</v>
      </c>
      <c r="S12" s="198">
        <v>1471000</v>
      </c>
      <c r="T12" s="25">
        <f t="shared" si="13"/>
        <v>0</v>
      </c>
      <c r="U12" s="198"/>
      <c r="V12" s="25">
        <f t="shared" si="14"/>
        <v>0</v>
      </c>
      <c r="W12" s="199">
        <v>905</v>
      </c>
      <c r="X12" s="197"/>
      <c r="Y12" s="198">
        <v>11250000</v>
      </c>
      <c r="Z12" s="197"/>
      <c r="AA12" s="198"/>
      <c r="AB12" s="197"/>
      <c r="AC12" s="198"/>
      <c r="AD12" s="197">
        <f t="shared" si="4"/>
        <v>9779000</v>
      </c>
      <c r="AE12" s="204" t="s">
        <v>187</v>
      </c>
    </row>
    <row r="13" spans="1:31" ht="66.75" customHeight="1" x14ac:dyDescent="0.3">
      <c r="A13" s="115" t="s">
        <v>165</v>
      </c>
      <c r="B13" s="117" t="s">
        <v>166</v>
      </c>
      <c r="C13" s="16">
        <v>30453.9</v>
      </c>
      <c r="D13" s="16"/>
      <c r="E13" s="25">
        <v>30453878.91</v>
      </c>
      <c r="F13" s="116"/>
      <c r="G13" s="116"/>
      <c r="H13" s="114"/>
      <c r="I13" s="114"/>
      <c r="J13" s="114"/>
      <c r="K13" s="131"/>
      <c r="L13" s="198"/>
      <c r="M13" s="198">
        <f t="shared" si="19"/>
        <v>0</v>
      </c>
      <c r="N13" s="198">
        <v>0</v>
      </c>
      <c r="O13" s="198"/>
      <c r="P13" s="198"/>
      <c r="Q13" s="198">
        <v>0</v>
      </c>
      <c r="R13" s="25">
        <f t="shared" si="12"/>
        <v>562510.79999999993</v>
      </c>
      <c r="S13" s="198">
        <v>0</v>
      </c>
      <c r="T13" s="25">
        <f t="shared" si="13"/>
        <v>0</v>
      </c>
      <c r="U13" s="198"/>
      <c r="V13" s="25">
        <f t="shared" si="14"/>
        <v>0</v>
      </c>
      <c r="W13" s="199">
        <v>906</v>
      </c>
      <c r="X13" s="197">
        <v>556885.68999999994</v>
      </c>
      <c r="Y13" s="198">
        <v>5625.11</v>
      </c>
      <c r="Z13" s="197"/>
      <c r="AA13" s="198"/>
      <c r="AB13" s="197"/>
      <c r="AC13" s="198"/>
      <c r="AD13" s="197">
        <f t="shared" si="4"/>
        <v>562510.79999999993</v>
      </c>
      <c r="AE13" s="8"/>
    </row>
    <row r="14" spans="1:31" ht="54.75" hidden="1" customHeight="1" x14ac:dyDescent="0.3">
      <c r="A14" s="115" t="s">
        <v>164</v>
      </c>
      <c r="B14" s="200" t="s">
        <v>170</v>
      </c>
      <c r="C14" s="16">
        <v>212.2</v>
      </c>
      <c r="D14" s="16"/>
      <c r="E14" s="25">
        <v>212168.14</v>
      </c>
      <c r="F14" s="116"/>
      <c r="G14" s="116"/>
      <c r="H14" s="114"/>
      <c r="I14" s="114"/>
      <c r="J14" s="114"/>
      <c r="K14" s="131"/>
      <c r="L14" s="198">
        <f t="shared" ref="L14:L25" si="20">X14+Y14</f>
        <v>0</v>
      </c>
      <c r="M14" s="198">
        <f t="shared" si="19"/>
        <v>0</v>
      </c>
      <c r="N14" s="198">
        <v>0</v>
      </c>
      <c r="O14" s="198"/>
      <c r="P14" s="198"/>
      <c r="Q14" s="198">
        <v>0</v>
      </c>
      <c r="R14" s="25">
        <f t="shared" si="12"/>
        <v>0</v>
      </c>
      <c r="S14" s="198">
        <v>0</v>
      </c>
      <c r="T14" s="25">
        <f t="shared" si="13"/>
        <v>6786727.2599999998</v>
      </c>
      <c r="U14" s="198"/>
      <c r="V14" s="25">
        <f t="shared" si="14"/>
        <v>0</v>
      </c>
      <c r="W14" s="199">
        <v>906</v>
      </c>
      <c r="X14" s="197"/>
      <c r="Y14" s="198"/>
      <c r="Z14" s="197">
        <v>6718860</v>
      </c>
      <c r="AA14" s="198">
        <v>67867.259999999995</v>
      </c>
      <c r="AB14" s="197"/>
      <c r="AC14" s="198"/>
      <c r="AD14" s="197">
        <f t="shared" si="4"/>
        <v>0</v>
      </c>
      <c r="AE14" s="8"/>
    </row>
    <row r="15" spans="1:31" ht="63" customHeight="1" x14ac:dyDescent="0.3">
      <c r="A15" s="115" t="s">
        <v>85</v>
      </c>
      <c r="B15" s="165" t="s">
        <v>99</v>
      </c>
      <c r="C15" s="25"/>
      <c r="D15" s="25"/>
      <c r="E15" s="25"/>
      <c r="F15" s="116"/>
      <c r="G15" s="116"/>
      <c r="H15" s="114"/>
      <c r="I15" s="114">
        <v>0</v>
      </c>
      <c r="J15" s="114"/>
      <c r="K15" s="131">
        <v>0</v>
      </c>
      <c r="L15" s="198">
        <v>1002800</v>
      </c>
      <c r="M15" s="198">
        <f t="shared" si="19"/>
        <v>1002800</v>
      </c>
      <c r="N15" s="198">
        <v>0</v>
      </c>
      <c r="O15" s="198"/>
      <c r="P15" s="198"/>
      <c r="Q15" s="198">
        <v>437200</v>
      </c>
      <c r="R15" s="25">
        <f t="shared" si="12"/>
        <v>0</v>
      </c>
      <c r="S15" s="198">
        <v>0</v>
      </c>
      <c r="T15" s="25">
        <f t="shared" si="13"/>
        <v>0</v>
      </c>
      <c r="U15" s="198"/>
      <c r="V15" s="25">
        <f t="shared" si="14"/>
        <v>0</v>
      </c>
      <c r="W15" s="199">
        <v>906</v>
      </c>
      <c r="X15" s="197"/>
      <c r="Y15" s="198"/>
      <c r="Z15" s="197"/>
      <c r="AA15" s="198"/>
      <c r="AB15" s="197"/>
      <c r="AC15" s="198"/>
      <c r="AD15" s="197">
        <f t="shared" si="4"/>
        <v>-437200</v>
      </c>
      <c r="AE15" s="8"/>
    </row>
    <row r="16" spans="1:31" ht="26.25" customHeight="1" x14ac:dyDescent="0.3">
      <c r="A16" s="115" t="s">
        <v>168</v>
      </c>
      <c r="B16" s="165" t="s">
        <v>169</v>
      </c>
      <c r="C16" s="16"/>
      <c r="D16" s="16"/>
      <c r="E16" s="25"/>
      <c r="F16" s="116"/>
      <c r="G16" s="116"/>
      <c r="H16" s="114"/>
      <c r="I16" s="114">
        <v>0</v>
      </c>
      <c r="J16" s="114"/>
      <c r="K16" s="131">
        <v>0</v>
      </c>
      <c r="L16" s="198"/>
      <c r="M16" s="198">
        <f t="shared" si="19"/>
        <v>0</v>
      </c>
      <c r="N16" s="198">
        <v>0</v>
      </c>
      <c r="O16" s="198"/>
      <c r="P16" s="198"/>
      <c r="Q16" s="198">
        <v>0</v>
      </c>
      <c r="R16" s="25">
        <f t="shared" si="12"/>
        <v>403600</v>
      </c>
      <c r="S16" s="198">
        <v>437200</v>
      </c>
      <c r="T16" s="25">
        <f t="shared" si="13"/>
        <v>0</v>
      </c>
      <c r="U16" s="198"/>
      <c r="V16" s="25">
        <f t="shared" si="14"/>
        <v>0</v>
      </c>
      <c r="W16" s="199">
        <v>905</v>
      </c>
      <c r="X16" s="197">
        <v>399542.52</v>
      </c>
      <c r="Y16" s="198">
        <v>4057.48</v>
      </c>
      <c r="Z16" s="197"/>
      <c r="AA16" s="198"/>
      <c r="AB16" s="197"/>
      <c r="AC16" s="198"/>
      <c r="AD16" s="197">
        <f t="shared" si="4"/>
        <v>403600</v>
      </c>
      <c r="AE16" s="204" t="s">
        <v>183</v>
      </c>
    </row>
    <row r="17" spans="1:31" ht="40.200000000000003" hidden="1" customHeight="1" x14ac:dyDescent="0.3">
      <c r="A17" s="115" t="s">
        <v>132</v>
      </c>
      <c r="B17" s="165" t="s">
        <v>133</v>
      </c>
      <c r="C17" s="16"/>
      <c r="D17" s="16"/>
      <c r="E17" s="25"/>
      <c r="F17" s="116"/>
      <c r="G17" s="116"/>
      <c r="H17" s="114"/>
      <c r="I17" s="114"/>
      <c r="J17" s="114"/>
      <c r="K17" s="131"/>
      <c r="L17" s="198">
        <f t="shared" ref="L17" si="21">X17+Y17</f>
        <v>0</v>
      </c>
      <c r="M17" s="198">
        <f t="shared" si="19"/>
        <v>0</v>
      </c>
      <c r="N17" s="198">
        <v>1</v>
      </c>
      <c r="O17" s="198"/>
      <c r="P17" s="198"/>
      <c r="Q17" s="198"/>
      <c r="R17" s="25">
        <f t="shared" si="12"/>
        <v>0</v>
      </c>
      <c r="S17" s="198">
        <v>0</v>
      </c>
      <c r="T17" s="25">
        <f t="shared" si="13"/>
        <v>0</v>
      </c>
      <c r="U17" s="198"/>
      <c r="V17" s="25">
        <f t="shared" si="14"/>
        <v>0</v>
      </c>
      <c r="W17" s="199">
        <v>906</v>
      </c>
      <c r="X17" s="197"/>
      <c r="Y17" s="198"/>
      <c r="Z17" s="197"/>
      <c r="AA17" s="198"/>
      <c r="AB17" s="197"/>
      <c r="AC17" s="198"/>
      <c r="AD17" s="197">
        <f t="shared" si="4"/>
        <v>0</v>
      </c>
      <c r="AE17" s="204"/>
    </row>
    <row r="18" spans="1:31" ht="40.200000000000003" hidden="1" customHeight="1" x14ac:dyDescent="0.3">
      <c r="A18" s="115" t="s">
        <v>162</v>
      </c>
      <c r="B18" s="165" t="s">
        <v>163</v>
      </c>
      <c r="C18" s="16"/>
      <c r="D18" s="16"/>
      <c r="E18" s="25"/>
      <c r="F18" s="116"/>
      <c r="G18" s="116"/>
      <c r="H18" s="114"/>
      <c r="I18" s="114"/>
      <c r="J18" s="114"/>
      <c r="K18" s="131"/>
      <c r="L18" s="198"/>
      <c r="M18" s="198"/>
      <c r="N18" s="198"/>
      <c r="O18" s="198"/>
      <c r="P18" s="198"/>
      <c r="Q18" s="198">
        <v>0</v>
      </c>
      <c r="R18" s="25">
        <f t="shared" si="12"/>
        <v>0</v>
      </c>
      <c r="S18" s="198">
        <v>1</v>
      </c>
      <c r="T18" s="25">
        <f t="shared" si="13"/>
        <v>19888932.699999999</v>
      </c>
      <c r="U18" s="198"/>
      <c r="V18" s="25">
        <f t="shared" si="14"/>
        <v>0</v>
      </c>
      <c r="W18" s="199">
        <v>906</v>
      </c>
      <c r="X18" s="197"/>
      <c r="Y18" s="198"/>
      <c r="Z18" s="197">
        <v>19690043.41</v>
      </c>
      <c r="AA18" s="198">
        <v>198889.29</v>
      </c>
      <c r="AB18" s="197"/>
      <c r="AC18" s="198"/>
      <c r="AD18" s="197">
        <f t="shared" si="4"/>
        <v>0</v>
      </c>
      <c r="AE18" s="204"/>
    </row>
    <row r="19" spans="1:31" ht="41.25" customHeight="1" x14ac:dyDescent="0.3">
      <c r="A19" s="115" t="s">
        <v>112</v>
      </c>
      <c r="B19" s="165" t="s">
        <v>113</v>
      </c>
      <c r="C19" s="16"/>
      <c r="D19" s="16"/>
      <c r="E19" s="25"/>
      <c r="F19" s="116"/>
      <c r="G19" s="116"/>
      <c r="H19" s="114"/>
      <c r="I19" s="114"/>
      <c r="J19" s="114"/>
      <c r="K19" s="131">
        <v>0</v>
      </c>
      <c r="L19" s="198">
        <v>38569434</v>
      </c>
      <c r="M19" s="198">
        <f t="shared" si="19"/>
        <v>38569434</v>
      </c>
      <c r="N19" s="198">
        <v>1</v>
      </c>
      <c r="O19" s="198"/>
      <c r="P19" s="198"/>
      <c r="Q19" s="198">
        <v>36323037</v>
      </c>
      <c r="R19" s="25">
        <f t="shared" si="12"/>
        <v>41702031.109999999</v>
      </c>
      <c r="S19" s="198">
        <v>36323037</v>
      </c>
      <c r="T19" s="25">
        <f t="shared" si="13"/>
        <v>41702042.219999999</v>
      </c>
      <c r="U19" s="198"/>
      <c r="V19" s="25">
        <f t="shared" si="14"/>
        <v>38186527.210000001</v>
      </c>
      <c r="W19" s="199">
        <v>906</v>
      </c>
      <c r="X19" s="197">
        <v>37531828</v>
      </c>
      <c r="Y19" s="198">
        <v>4170203.11</v>
      </c>
      <c r="Z19" s="197">
        <v>37531838</v>
      </c>
      <c r="AA19" s="198">
        <v>4170204.22</v>
      </c>
      <c r="AB19" s="197">
        <v>35131605</v>
      </c>
      <c r="AC19" s="198">
        <v>3054922.21</v>
      </c>
      <c r="AD19" s="197">
        <f t="shared" si="4"/>
        <v>5378994.1099999994</v>
      </c>
      <c r="AE19" s="204"/>
    </row>
    <row r="20" spans="1:31" ht="30" hidden="1" customHeight="1" x14ac:dyDescent="0.3">
      <c r="A20" s="115" t="s">
        <v>150</v>
      </c>
      <c r="B20" s="165" t="s">
        <v>151</v>
      </c>
      <c r="C20" s="16"/>
      <c r="D20" s="16"/>
      <c r="E20" s="25"/>
      <c r="F20" s="116"/>
      <c r="G20" s="116"/>
      <c r="H20" s="114"/>
      <c r="I20" s="114"/>
      <c r="J20" s="114"/>
      <c r="K20" s="131"/>
      <c r="L20" s="198"/>
      <c r="M20" s="198"/>
      <c r="N20" s="198"/>
      <c r="O20" s="198"/>
      <c r="P20" s="198"/>
      <c r="Q20" s="198">
        <v>0</v>
      </c>
      <c r="R20" s="25">
        <f t="shared" si="12"/>
        <v>0</v>
      </c>
      <c r="S20" s="198"/>
      <c r="T20" s="25">
        <f t="shared" si="13"/>
        <v>8000000</v>
      </c>
      <c r="U20" s="198">
        <v>8000000</v>
      </c>
      <c r="V20" s="25">
        <f t="shared" si="14"/>
        <v>21010000</v>
      </c>
      <c r="W20" s="199">
        <v>905</v>
      </c>
      <c r="X20" s="197"/>
      <c r="Y20" s="198"/>
      <c r="Z20" s="197"/>
      <c r="AA20" s="198">
        <v>8000000</v>
      </c>
      <c r="AB20" s="197"/>
      <c r="AC20" s="198">
        <v>21010000</v>
      </c>
      <c r="AD20" s="197">
        <f t="shared" si="4"/>
        <v>0</v>
      </c>
      <c r="AE20" s="204"/>
    </row>
    <row r="21" spans="1:31" ht="37.5" customHeight="1" x14ac:dyDescent="0.3">
      <c r="A21" s="119" t="s">
        <v>41</v>
      </c>
      <c r="B21" s="40" t="s">
        <v>70</v>
      </c>
      <c r="C21" s="25">
        <v>1770.5</v>
      </c>
      <c r="D21" s="25"/>
      <c r="E21" s="25">
        <v>1770457</v>
      </c>
      <c r="F21" s="116"/>
      <c r="G21" s="116"/>
      <c r="H21" s="114"/>
      <c r="I21" s="114">
        <v>2906</v>
      </c>
      <c r="J21" s="114"/>
      <c r="K21" s="131">
        <v>0</v>
      </c>
      <c r="L21" s="198">
        <v>1337743.6000000001</v>
      </c>
      <c r="M21" s="198">
        <f t="shared" si="19"/>
        <v>1337743.6000000001</v>
      </c>
      <c r="N21" s="198">
        <v>0</v>
      </c>
      <c r="O21" s="198"/>
      <c r="P21" s="198"/>
      <c r="Q21" s="198">
        <v>1380921.05</v>
      </c>
      <c r="R21" s="25">
        <f t="shared" si="12"/>
        <v>3629290.9</v>
      </c>
      <c r="S21" s="198">
        <v>1380921.05</v>
      </c>
      <c r="T21" s="25">
        <f t="shared" si="13"/>
        <v>2038304.8399999999</v>
      </c>
      <c r="U21" s="198"/>
      <c r="V21" s="25">
        <f t="shared" si="14"/>
        <v>2371315.54</v>
      </c>
      <c r="W21" s="199">
        <v>902</v>
      </c>
      <c r="X21" s="197">
        <v>3266316.61</v>
      </c>
      <c r="Y21" s="198">
        <v>362974.29</v>
      </c>
      <c r="Z21" s="197">
        <v>1834458.69</v>
      </c>
      <c r="AA21" s="198">
        <v>203846.15</v>
      </c>
      <c r="AB21" s="197">
        <v>2134115.89</v>
      </c>
      <c r="AC21" s="198">
        <v>237199.65</v>
      </c>
      <c r="AD21" s="197">
        <f t="shared" si="4"/>
        <v>2248369.8499999996</v>
      </c>
      <c r="AE21" s="204"/>
    </row>
    <row r="22" spans="1:31" ht="86.4" x14ac:dyDescent="0.3">
      <c r="A22" s="171" t="s">
        <v>38</v>
      </c>
      <c r="B22" s="30" t="s">
        <v>131</v>
      </c>
      <c r="C22" s="16">
        <v>19.2</v>
      </c>
      <c r="D22" s="16"/>
      <c r="E22" s="25">
        <v>19200</v>
      </c>
      <c r="F22" s="116">
        <f>E22/1000</f>
        <v>19.2</v>
      </c>
      <c r="G22" s="116">
        <f>F22-C22</f>
        <v>0</v>
      </c>
      <c r="H22" s="114"/>
      <c r="I22" s="114">
        <v>4024.2</v>
      </c>
      <c r="J22" s="114"/>
      <c r="K22" s="131">
        <v>0</v>
      </c>
      <c r="L22" s="198">
        <v>8683217</v>
      </c>
      <c r="M22" s="198">
        <f t="shared" si="19"/>
        <v>8683217</v>
      </c>
      <c r="N22" s="198">
        <v>0</v>
      </c>
      <c r="O22" s="198"/>
      <c r="P22" s="198"/>
      <c r="Q22" s="198">
        <v>80995</v>
      </c>
      <c r="R22" s="25">
        <f t="shared" si="12"/>
        <v>20516089</v>
      </c>
      <c r="S22" s="198">
        <v>80995</v>
      </c>
      <c r="T22" s="25">
        <f t="shared" si="13"/>
        <v>91927</v>
      </c>
      <c r="U22" s="198">
        <v>26139</v>
      </c>
      <c r="V22" s="25">
        <f>AB22+AC22</f>
        <v>93599</v>
      </c>
      <c r="W22" s="199">
        <v>907</v>
      </c>
      <c r="X22" s="197">
        <f>59209+16659126</f>
        <v>16718335</v>
      </c>
      <c r="Y22" s="198">
        <f>1940161+6579+1851014</f>
        <v>3797754</v>
      </c>
      <c r="Z22" s="197">
        <v>59209</v>
      </c>
      <c r="AA22" s="198">
        <f>26139+6579</f>
        <v>32718</v>
      </c>
      <c r="AB22" s="197">
        <v>62063</v>
      </c>
      <c r="AC22" s="198">
        <f>26139+5397</f>
        <v>31536</v>
      </c>
      <c r="AD22" s="197">
        <f t="shared" si="4"/>
        <v>20435094</v>
      </c>
      <c r="AE22" s="204" t="s">
        <v>180</v>
      </c>
    </row>
    <row r="23" spans="1:31" ht="59.25" hidden="1" customHeight="1" x14ac:dyDescent="0.3">
      <c r="A23" s="115" t="s">
        <v>78</v>
      </c>
      <c r="B23" s="118" t="s">
        <v>125</v>
      </c>
      <c r="C23" s="25">
        <v>10592.8</v>
      </c>
      <c r="D23" s="25"/>
      <c r="E23" s="25">
        <v>10592830</v>
      </c>
      <c r="F23" s="116">
        <f>E23/1000</f>
        <v>10592.83</v>
      </c>
      <c r="G23" s="116">
        <f>F23-C23</f>
        <v>3.0000000000654836E-2</v>
      </c>
      <c r="H23" s="114"/>
      <c r="I23" s="114">
        <v>5000</v>
      </c>
      <c r="J23" s="114"/>
      <c r="K23" s="131">
        <v>10000</v>
      </c>
      <c r="L23" s="198">
        <f t="shared" si="20"/>
        <v>0</v>
      </c>
      <c r="M23" s="198">
        <f t="shared" si="19"/>
        <v>-10000</v>
      </c>
      <c r="N23" s="198">
        <v>0</v>
      </c>
      <c r="O23" s="198"/>
      <c r="P23" s="198"/>
      <c r="Q23" s="198">
        <v>0</v>
      </c>
      <c r="R23" s="25">
        <f t="shared" si="12"/>
        <v>0</v>
      </c>
      <c r="S23" s="198">
        <v>0</v>
      </c>
      <c r="T23" s="25">
        <f t="shared" si="13"/>
        <v>0</v>
      </c>
      <c r="U23" s="198"/>
      <c r="V23" s="25">
        <f t="shared" si="14"/>
        <v>0</v>
      </c>
      <c r="W23" s="199" t="s">
        <v>61</v>
      </c>
      <c r="X23" s="197"/>
      <c r="Y23" s="198"/>
      <c r="Z23" s="197"/>
      <c r="AA23" s="198"/>
      <c r="AB23" s="197"/>
      <c r="AC23" s="198"/>
      <c r="AD23" s="197">
        <f t="shared" si="4"/>
        <v>0</v>
      </c>
      <c r="AE23" s="204"/>
    </row>
    <row r="24" spans="1:31" ht="27.75" customHeight="1" x14ac:dyDescent="0.3">
      <c r="A24" s="171" t="s">
        <v>39</v>
      </c>
      <c r="B24" s="30" t="s">
        <v>59</v>
      </c>
      <c r="C24" s="25">
        <v>19852.8</v>
      </c>
      <c r="D24" s="25"/>
      <c r="E24" s="25">
        <v>19852840.23</v>
      </c>
      <c r="F24" s="116">
        <f t="shared" si="15"/>
        <v>19852.840230000002</v>
      </c>
      <c r="G24" s="116">
        <f t="shared" si="16"/>
        <v>4.0230000002338784E-2</v>
      </c>
      <c r="H24" s="114"/>
      <c r="I24" s="114">
        <v>17176</v>
      </c>
      <c r="J24" s="114"/>
      <c r="K24" s="131">
        <v>0</v>
      </c>
      <c r="L24" s="198">
        <v>11858831.43</v>
      </c>
      <c r="M24" s="198">
        <f t="shared" si="19"/>
        <v>11858831.43</v>
      </c>
      <c r="N24" s="198">
        <v>0</v>
      </c>
      <c r="O24" s="198"/>
      <c r="P24" s="198"/>
      <c r="Q24" s="198">
        <v>16941187.739999998</v>
      </c>
      <c r="R24" s="25">
        <f t="shared" si="12"/>
        <v>11649400.41</v>
      </c>
      <c r="S24" s="198">
        <v>16941187.739999998</v>
      </c>
      <c r="T24" s="25">
        <f t="shared" si="13"/>
        <v>18472315.27</v>
      </c>
      <c r="U24" s="198"/>
      <c r="V24" s="25">
        <f t="shared" si="14"/>
        <v>0</v>
      </c>
      <c r="W24" s="199">
        <v>905</v>
      </c>
      <c r="X24" s="116">
        <v>11532906.15</v>
      </c>
      <c r="Y24" s="198">
        <v>116494.26</v>
      </c>
      <c r="Z24" s="197">
        <v>18287591.640000001</v>
      </c>
      <c r="AA24" s="198">
        <v>184723.63</v>
      </c>
      <c r="AB24" s="197"/>
      <c r="AC24" s="198"/>
      <c r="AD24" s="197">
        <f t="shared" si="4"/>
        <v>-5291787.3299999982</v>
      </c>
      <c r="AE24" s="204" t="s">
        <v>181</v>
      </c>
    </row>
    <row r="25" spans="1:31" ht="36.6" hidden="1" x14ac:dyDescent="0.3">
      <c r="A25" s="119" t="s">
        <v>40</v>
      </c>
      <c r="B25" s="120" t="s">
        <v>24</v>
      </c>
      <c r="C25" s="25"/>
      <c r="D25" s="25"/>
      <c r="E25" s="25"/>
      <c r="F25" s="116">
        <f t="shared" si="15"/>
        <v>0</v>
      </c>
      <c r="G25" s="116">
        <f t="shared" si="16"/>
        <v>0</v>
      </c>
      <c r="H25" s="114"/>
      <c r="I25" s="114"/>
      <c r="J25" s="114"/>
      <c r="K25" s="131">
        <v>0</v>
      </c>
      <c r="L25" s="198">
        <f t="shared" si="20"/>
        <v>0</v>
      </c>
      <c r="M25" s="198">
        <f t="shared" si="19"/>
        <v>0</v>
      </c>
      <c r="N25" s="198">
        <v>0</v>
      </c>
      <c r="O25" s="198"/>
      <c r="P25" s="198"/>
      <c r="Q25" s="198"/>
      <c r="R25" s="25">
        <f t="shared" si="12"/>
        <v>0</v>
      </c>
      <c r="S25" s="198">
        <v>0</v>
      </c>
      <c r="T25" s="25">
        <f t="shared" si="13"/>
        <v>0</v>
      </c>
      <c r="U25" s="198"/>
      <c r="V25" s="25">
        <f t="shared" si="14"/>
        <v>0</v>
      </c>
      <c r="W25" s="199"/>
      <c r="X25" s="197"/>
      <c r="Y25" s="198"/>
      <c r="Z25" s="197"/>
      <c r="AA25" s="198"/>
      <c r="AB25" s="197"/>
      <c r="AC25" s="198"/>
      <c r="AD25" s="197">
        <f t="shared" si="4"/>
        <v>0</v>
      </c>
      <c r="AE25" s="204"/>
    </row>
    <row r="26" spans="1:31" x14ac:dyDescent="0.3">
      <c r="A26" s="171" t="s">
        <v>42</v>
      </c>
      <c r="B26" s="30" t="s">
        <v>20</v>
      </c>
      <c r="C26" s="25">
        <f>C27+C28+C31+C33+C38+C29+C32+C39+C40+C41</f>
        <v>7052.7</v>
      </c>
      <c r="D26" s="25">
        <f>D27+D28+D31+D33+D38+D29+D32+D39+D40+D41</f>
        <v>0</v>
      </c>
      <c r="E26" s="25">
        <f>E27+E28+E31+E33+E38+E29+E32+E39+E40+E41</f>
        <v>7052716.3899999997</v>
      </c>
      <c r="F26" s="25">
        <f>F27+F28+F31+F33+F38+F29+F32+F39+F40+F41</f>
        <v>6973.7163900000005</v>
      </c>
      <c r="G26" s="25">
        <f>G27+G28+G31+G33+G38+G29+G32+G39+G40+G41</f>
        <v>1.6390000000068738E-2</v>
      </c>
      <c r="H26" s="16">
        <f t="shared" ref="H26:N26" si="22">SUM(H27:H41)</f>
        <v>0</v>
      </c>
      <c r="I26" s="16">
        <f t="shared" si="22"/>
        <v>6369.8</v>
      </c>
      <c r="J26" s="16">
        <f t="shared" si="22"/>
        <v>0</v>
      </c>
      <c r="K26" s="130">
        <f t="shared" si="22"/>
        <v>0</v>
      </c>
      <c r="L26" s="25">
        <f t="shared" si="22"/>
        <v>3859247.64</v>
      </c>
      <c r="M26" s="198">
        <f t="shared" si="19"/>
        <v>3859247.64</v>
      </c>
      <c r="N26" s="25">
        <f t="shared" si="22"/>
        <v>0</v>
      </c>
      <c r="O26" s="25"/>
      <c r="P26" s="25"/>
      <c r="Q26" s="25">
        <f>SUM(Q27:Q39)</f>
        <v>5042820</v>
      </c>
      <c r="R26" s="25">
        <f t="shared" si="12"/>
        <v>30592150</v>
      </c>
      <c r="S26" s="25">
        <v>5042820</v>
      </c>
      <c r="T26" s="25">
        <f t="shared" si="13"/>
        <v>21178869</v>
      </c>
      <c r="U26" s="25">
        <f t="shared" ref="U26" si="23">SUM(U27:U41)</f>
        <v>21178869</v>
      </c>
      <c r="V26" s="25">
        <f t="shared" si="14"/>
        <v>10996323</v>
      </c>
      <c r="W26" s="199"/>
      <c r="X26" s="25">
        <f t="shared" ref="X26:AC26" si="24">SUM(X27:X41)</f>
        <v>0</v>
      </c>
      <c r="Y26" s="25">
        <f>SUM(Y27:Y41)</f>
        <v>30592150</v>
      </c>
      <c r="Z26" s="25">
        <f t="shared" si="24"/>
        <v>0</v>
      </c>
      <c r="AA26" s="25">
        <f t="shared" si="24"/>
        <v>21178869</v>
      </c>
      <c r="AB26" s="25">
        <f t="shared" si="24"/>
        <v>0</v>
      </c>
      <c r="AC26" s="25">
        <f t="shared" si="24"/>
        <v>10996323</v>
      </c>
      <c r="AD26" s="197">
        <f t="shared" si="4"/>
        <v>25549330</v>
      </c>
      <c r="AE26" s="204"/>
    </row>
    <row r="27" spans="1:31" ht="14.4" customHeight="1" x14ac:dyDescent="0.3">
      <c r="A27" s="171"/>
      <c r="B27" s="30" t="s">
        <v>21</v>
      </c>
      <c r="C27" s="25">
        <f>3236+2126</f>
        <v>5362</v>
      </c>
      <c r="D27" s="25"/>
      <c r="E27" s="25">
        <f>3236000+2126000</f>
        <v>5362000</v>
      </c>
      <c r="F27" s="116">
        <f t="shared" si="15"/>
        <v>5362</v>
      </c>
      <c r="G27" s="116">
        <f t="shared" si="16"/>
        <v>0</v>
      </c>
      <c r="H27" s="114"/>
      <c r="I27" s="114">
        <v>5412</v>
      </c>
      <c r="J27" s="114"/>
      <c r="K27" s="131">
        <v>0</v>
      </c>
      <c r="L27" s="198">
        <v>1173820</v>
      </c>
      <c r="M27" s="198">
        <f t="shared" si="19"/>
        <v>1173820</v>
      </c>
      <c r="N27" s="198">
        <v>0</v>
      </c>
      <c r="O27" s="198"/>
      <c r="P27" s="198"/>
      <c r="Q27" s="198">
        <v>1173820</v>
      </c>
      <c r="R27" s="25">
        <f t="shared" si="12"/>
        <v>2314762</v>
      </c>
      <c r="S27" s="198">
        <v>1173820</v>
      </c>
      <c r="T27" s="25">
        <f t="shared" si="13"/>
        <v>1157381</v>
      </c>
      <c r="U27" s="198">
        <v>1157381</v>
      </c>
      <c r="V27" s="25">
        <f t="shared" si="14"/>
        <v>1157381</v>
      </c>
      <c r="W27" s="199">
        <v>906</v>
      </c>
      <c r="X27" s="197"/>
      <c r="Y27" s="198">
        <f>2314762</f>
        <v>2314762</v>
      </c>
      <c r="Z27" s="197"/>
      <c r="AA27" s="198">
        <f>1157381</f>
        <v>1157381</v>
      </c>
      <c r="AB27" s="197"/>
      <c r="AC27" s="198">
        <f>1157381</f>
        <v>1157381</v>
      </c>
      <c r="AD27" s="197">
        <f t="shared" si="4"/>
        <v>1140942</v>
      </c>
      <c r="AE27" s="204"/>
    </row>
    <row r="28" spans="1:31" ht="16.2" customHeight="1" x14ac:dyDescent="0.3">
      <c r="A28" s="171"/>
      <c r="B28" s="30" t="s">
        <v>123</v>
      </c>
      <c r="C28" s="25">
        <v>500</v>
      </c>
      <c r="D28" s="25"/>
      <c r="E28" s="25">
        <v>500000</v>
      </c>
      <c r="F28" s="116">
        <f t="shared" si="15"/>
        <v>500</v>
      </c>
      <c r="G28" s="116">
        <f t="shared" si="16"/>
        <v>0</v>
      </c>
      <c r="H28" s="114"/>
      <c r="I28" s="114">
        <v>543.79999999999995</v>
      </c>
      <c r="J28" s="114"/>
      <c r="K28" s="131">
        <v>0</v>
      </c>
      <c r="L28" s="198">
        <v>1000000</v>
      </c>
      <c r="M28" s="198">
        <f t="shared" si="19"/>
        <v>1000000</v>
      </c>
      <c r="N28" s="198">
        <v>0</v>
      </c>
      <c r="O28" s="198"/>
      <c r="P28" s="198"/>
      <c r="Q28" s="198">
        <v>1700000</v>
      </c>
      <c r="R28" s="25">
        <f t="shared" si="12"/>
        <v>7945000</v>
      </c>
      <c r="S28" s="198">
        <v>1700000</v>
      </c>
      <c r="T28" s="25">
        <f t="shared" si="13"/>
        <v>4295000</v>
      </c>
      <c r="U28" s="198">
        <v>4295000</v>
      </c>
      <c r="V28" s="25">
        <f t="shared" si="14"/>
        <v>3795000</v>
      </c>
      <c r="W28" s="199">
        <v>906</v>
      </c>
      <c r="X28" s="197"/>
      <c r="Y28" s="198">
        <v>7945000</v>
      </c>
      <c r="Z28" s="197"/>
      <c r="AA28" s="198">
        <v>4295000</v>
      </c>
      <c r="AB28" s="197"/>
      <c r="AC28" s="198">
        <v>3795000</v>
      </c>
      <c r="AD28" s="197">
        <f t="shared" si="4"/>
        <v>6245000</v>
      </c>
      <c r="AE28" s="204" t="s">
        <v>184</v>
      </c>
    </row>
    <row r="29" spans="1:31" ht="23.25" hidden="1" customHeight="1" x14ac:dyDescent="0.3">
      <c r="A29" s="171"/>
      <c r="B29" s="40" t="s">
        <v>120</v>
      </c>
      <c r="C29" s="25"/>
      <c r="D29" s="25"/>
      <c r="E29" s="25"/>
      <c r="F29" s="116">
        <f t="shared" si="15"/>
        <v>0</v>
      </c>
      <c r="G29" s="116">
        <f t="shared" si="16"/>
        <v>0</v>
      </c>
      <c r="H29" s="114"/>
      <c r="I29" s="114"/>
      <c r="J29" s="114"/>
      <c r="K29" s="131">
        <v>0</v>
      </c>
      <c r="L29" s="198">
        <f t="shared" ref="L29:L41" si="25">X29+Y29</f>
        <v>0</v>
      </c>
      <c r="M29" s="198">
        <f t="shared" si="19"/>
        <v>0</v>
      </c>
      <c r="N29" s="198">
        <v>0</v>
      </c>
      <c r="O29" s="198"/>
      <c r="P29" s="198"/>
      <c r="Q29" s="198">
        <f t="shared" ref="Q29" si="26">Y29+Z29</f>
        <v>0</v>
      </c>
      <c r="R29" s="25">
        <f t="shared" si="12"/>
        <v>0</v>
      </c>
      <c r="S29" s="198">
        <v>0</v>
      </c>
      <c r="T29" s="25">
        <f t="shared" si="13"/>
        <v>1767100</v>
      </c>
      <c r="U29" s="198">
        <v>1767100</v>
      </c>
      <c r="V29" s="25">
        <f t="shared" si="14"/>
        <v>0</v>
      </c>
      <c r="W29" s="199">
        <v>905</v>
      </c>
      <c r="X29" s="197"/>
      <c r="Y29" s="198"/>
      <c r="Z29" s="197"/>
      <c r="AA29" s="198">
        <v>1767100</v>
      </c>
      <c r="AB29" s="197"/>
      <c r="AC29" s="198"/>
      <c r="AD29" s="197">
        <f t="shared" si="4"/>
        <v>0</v>
      </c>
      <c r="AE29" s="204"/>
    </row>
    <row r="30" spans="1:31" ht="86.4" x14ac:dyDescent="0.3">
      <c r="A30" s="171"/>
      <c r="B30" s="121" t="s">
        <v>88</v>
      </c>
      <c r="C30" s="25"/>
      <c r="D30" s="25"/>
      <c r="E30" s="25"/>
      <c r="F30" s="116"/>
      <c r="G30" s="116"/>
      <c r="H30" s="114"/>
      <c r="I30" s="114"/>
      <c r="J30" s="114"/>
      <c r="K30" s="131">
        <v>0</v>
      </c>
      <c r="L30" s="198">
        <v>1000000</v>
      </c>
      <c r="M30" s="198">
        <f t="shared" si="19"/>
        <v>1000000</v>
      </c>
      <c r="N30" s="198">
        <v>0</v>
      </c>
      <c r="O30" s="198"/>
      <c r="P30" s="198"/>
      <c r="Q30" s="198">
        <v>1500000</v>
      </c>
      <c r="R30" s="25">
        <f t="shared" si="12"/>
        <v>5001000</v>
      </c>
      <c r="S30" s="198">
        <v>1500000</v>
      </c>
      <c r="T30" s="25">
        <f t="shared" si="13"/>
        <v>2701000</v>
      </c>
      <c r="U30" s="198">
        <v>2701000</v>
      </c>
      <c r="V30" s="25">
        <f t="shared" si="14"/>
        <v>2988900</v>
      </c>
      <c r="W30" s="199">
        <v>906</v>
      </c>
      <c r="X30" s="197"/>
      <c r="Y30" s="198">
        <v>5001000</v>
      </c>
      <c r="Z30" s="197"/>
      <c r="AA30" s="198">
        <v>2701000</v>
      </c>
      <c r="AB30" s="197"/>
      <c r="AC30" s="198">
        <v>2988900</v>
      </c>
      <c r="AD30" s="197">
        <f t="shared" si="4"/>
        <v>3501000</v>
      </c>
      <c r="AE30" s="204" t="s">
        <v>185</v>
      </c>
    </row>
    <row r="31" spans="1:31" ht="15" customHeight="1" x14ac:dyDescent="0.3">
      <c r="A31" s="171"/>
      <c r="B31" s="30" t="s">
        <v>89</v>
      </c>
      <c r="C31" s="25">
        <v>508.9</v>
      </c>
      <c r="D31" s="25"/>
      <c r="E31" s="25">
        <v>508947.39</v>
      </c>
      <c r="F31" s="116">
        <f t="shared" si="15"/>
        <v>508.94739000000004</v>
      </c>
      <c r="G31" s="116">
        <f t="shared" si="16"/>
        <v>4.7390000000063992E-2</v>
      </c>
      <c r="H31" s="114"/>
      <c r="I31" s="114">
        <v>111</v>
      </c>
      <c r="J31" s="114"/>
      <c r="K31" s="131">
        <v>0</v>
      </c>
      <c r="L31" s="198">
        <v>109000</v>
      </c>
      <c r="M31" s="198">
        <f t="shared" si="19"/>
        <v>109000</v>
      </c>
      <c r="N31" s="198">
        <v>0</v>
      </c>
      <c r="O31" s="198"/>
      <c r="P31" s="198"/>
      <c r="Q31" s="198">
        <v>109000</v>
      </c>
      <c r="R31" s="25">
        <f t="shared" si="12"/>
        <v>182000</v>
      </c>
      <c r="S31" s="198">
        <v>109000</v>
      </c>
      <c r="T31" s="25">
        <f t="shared" si="13"/>
        <v>109000</v>
      </c>
      <c r="U31" s="198">
        <v>109000</v>
      </c>
      <c r="V31" s="25">
        <f t="shared" si="14"/>
        <v>109000</v>
      </c>
      <c r="W31" s="199">
        <v>902</v>
      </c>
      <c r="X31" s="197"/>
      <c r="Y31" s="198">
        <v>182000</v>
      </c>
      <c r="Z31" s="197"/>
      <c r="AA31" s="198">
        <v>109000</v>
      </c>
      <c r="AB31" s="197"/>
      <c r="AC31" s="198">
        <v>109000</v>
      </c>
      <c r="AD31" s="197">
        <f t="shared" si="4"/>
        <v>73000</v>
      </c>
      <c r="AE31" s="204"/>
    </row>
    <row r="32" spans="1:31" ht="54" customHeight="1" x14ac:dyDescent="0.3">
      <c r="A32" s="171"/>
      <c r="B32" s="30" t="s">
        <v>31</v>
      </c>
      <c r="C32" s="16">
        <v>31.3</v>
      </c>
      <c r="D32" s="16"/>
      <c r="E32" s="25">
        <v>31250</v>
      </c>
      <c r="F32" s="116">
        <f t="shared" si="15"/>
        <v>31.25</v>
      </c>
      <c r="G32" s="116">
        <f t="shared" si="16"/>
        <v>-5.0000000000000711E-2</v>
      </c>
      <c r="H32" s="114"/>
      <c r="I32" s="114">
        <v>32</v>
      </c>
      <c r="J32" s="114"/>
      <c r="K32" s="131">
        <v>0</v>
      </c>
      <c r="L32" s="198">
        <v>105000</v>
      </c>
      <c r="M32" s="198">
        <f t="shared" si="19"/>
        <v>105000</v>
      </c>
      <c r="N32" s="198">
        <v>0</v>
      </c>
      <c r="O32" s="198"/>
      <c r="P32" s="198"/>
      <c r="Q32" s="198">
        <v>105000</v>
      </c>
      <c r="R32" s="25">
        <f t="shared" si="12"/>
        <v>144000</v>
      </c>
      <c r="S32" s="198">
        <v>105000</v>
      </c>
      <c r="T32" s="25">
        <f t="shared" si="13"/>
        <v>144000</v>
      </c>
      <c r="U32" s="198">
        <v>144000</v>
      </c>
      <c r="V32" s="25">
        <f t="shared" si="14"/>
        <v>144000</v>
      </c>
      <c r="W32" s="199">
        <v>902</v>
      </c>
      <c r="X32" s="197"/>
      <c r="Y32" s="198">
        <v>144000</v>
      </c>
      <c r="Z32" s="197"/>
      <c r="AA32" s="198">
        <v>144000</v>
      </c>
      <c r="AB32" s="197"/>
      <c r="AC32" s="198">
        <v>144000</v>
      </c>
      <c r="AD32" s="197">
        <f t="shared" si="4"/>
        <v>39000</v>
      </c>
      <c r="AE32" s="204"/>
    </row>
    <row r="33" spans="1:31" ht="36" x14ac:dyDescent="0.3">
      <c r="A33" s="171"/>
      <c r="B33" s="165" t="s">
        <v>28</v>
      </c>
      <c r="C33" s="16">
        <v>571.5</v>
      </c>
      <c r="D33" s="16"/>
      <c r="E33" s="25">
        <v>571519</v>
      </c>
      <c r="F33" s="116">
        <f t="shared" si="15"/>
        <v>571.51900000000001</v>
      </c>
      <c r="G33" s="116">
        <f t="shared" si="16"/>
        <v>1.9000000000005457E-2</v>
      </c>
      <c r="H33" s="114"/>
      <c r="I33" s="114">
        <v>271</v>
      </c>
      <c r="J33" s="114"/>
      <c r="K33" s="131">
        <v>0</v>
      </c>
      <c r="L33" s="198">
        <v>455000</v>
      </c>
      <c r="M33" s="198">
        <f t="shared" si="19"/>
        <v>455000</v>
      </c>
      <c r="N33" s="198">
        <v>0</v>
      </c>
      <c r="O33" s="198"/>
      <c r="P33" s="198"/>
      <c r="Q33" s="198">
        <v>455000</v>
      </c>
      <c r="R33" s="25">
        <f t="shared" si="12"/>
        <v>387324</v>
      </c>
      <c r="S33" s="198">
        <v>455000</v>
      </c>
      <c r="T33" s="25">
        <f t="shared" si="13"/>
        <v>387324</v>
      </c>
      <c r="U33" s="198">
        <v>387324</v>
      </c>
      <c r="V33" s="25">
        <f t="shared" si="14"/>
        <v>387324</v>
      </c>
      <c r="W33" s="199">
        <v>902</v>
      </c>
      <c r="X33" s="197"/>
      <c r="Y33" s="198">
        <v>387324</v>
      </c>
      <c r="Z33" s="197"/>
      <c r="AA33" s="198">
        <v>387324</v>
      </c>
      <c r="AB33" s="197"/>
      <c r="AC33" s="198">
        <v>387324</v>
      </c>
      <c r="AD33" s="197">
        <f t="shared" si="4"/>
        <v>-67676</v>
      </c>
      <c r="AE33" s="204"/>
    </row>
    <row r="34" spans="1:31" ht="36" x14ac:dyDescent="0.3">
      <c r="A34" s="171"/>
      <c r="B34" s="165" t="s">
        <v>157</v>
      </c>
      <c r="C34" s="16"/>
      <c r="D34" s="16"/>
      <c r="E34" s="25"/>
      <c r="F34" s="116"/>
      <c r="G34" s="116"/>
      <c r="H34" s="114"/>
      <c r="I34" s="114"/>
      <c r="J34" s="114"/>
      <c r="K34" s="131"/>
      <c r="L34" s="198"/>
      <c r="M34" s="198"/>
      <c r="N34" s="198"/>
      <c r="O34" s="198"/>
      <c r="P34" s="198"/>
      <c r="Q34" s="198">
        <v>0</v>
      </c>
      <c r="R34" s="25">
        <f t="shared" si="12"/>
        <v>5000000</v>
      </c>
      <c r="S34" s="198"/>
      <c r="T34" s="25">
        <f t="shared" si="13"/>
        <v>5000000</v>
      </c>
      <c r="U34" s="198">
        <v>5000000</v>
      </c>
      <c r="V34" s="25">
        <f t="shared" si="14"/>
        <v>0</v>
      </c>
      <c r="W34" s="199">
        <v>902</v>
      </c>
      <c r="X34" s="197"/>
      <c r="Y34" s="198">
        <v>5000000</v>
      </c>
      <c r="Z34" s="197"/>
      <c r="AA34" s="198">
        <v>5000000</v>
      </c>
      <c r="AB34" s="197"/>
      <c r="AC34" s="198"/>
      <c r="AD34" s="197">
        <f t="shared" si="4"/>
        <v>5000000</v>
      </c>
      <c r="AE34" s="279" t="s">
        <v>186</v>
      </c>
    </row>
    <row r="35" spans="1:31" ht="36" x14ac:dyDescent="0.3">
      <c r="A35" s="171"/>
      <c r="B35" s="165" t="s">
        <v>155</v>
      </c>
      <c r="C35" s="16"/>
      <c r="D35" s="16"/>
      <c r="E35" s="25"/>
      <c r="F35" s="116"/>
      <c r="G35" s="116"/>
      <c r="H35" s="114"/>
      <c r="I35" s="114"/>
      <c r="J35" s="114"/>
      <c r="K35" s="131"/>
      <c r="L35" s="198"/>
      <c r="M35" s="198"/>
      <c r="N35" s="198"/>
      <c r="O35" s="198"/>
      <c r="P35" s="198"/>
      <c r="Q35" s="198">
        <v>0</v>
      </c>
      <c r="R35" s="25">
        <f t="shared" si="12"/>
        <v>5000000</v>
      </c>
      <c r="S35" s="198"/>
      <c r="T35" s="25">
        <f t="shared" si="13"/>
        <v>5000000</v>
      </c>
      <c r="U35" s="198">
        <v>5000000</v>
      </c>
      <c r="V35" s="25">
        <f t="shared" si="14"/>
        <v>0</v>
      </c>
      <c r="W35" s="199">
        <v>902</v>
      </c>
      <c r="X35" s="197"/>
      <c r="Y35" s="198">
        <v>5000000</v>
      </c>
      <c r="Z35" s="197"/>
      <c r="AA35" s="198">
        <v>5000000</v>
      </c>
      <c r="AB35" s="197"/>
      <c r="AC35" s="198"/>
      <c r="AD35" s="197">
        <f t="shared" si="4"/>
        <v>5000000</v>
      </c>
      <c r="AE35" s="280"/>
    </row>
    <row r="36" spans="1:31" ht="36" x14ac:dyDescent="0.3">
      <c r="A36" s="171"/>
      <c r="B36" s="165" t="s">
        <v>156</v>
      </c>
      <c r="C36" s="16"/>
      <c r="D36" s="16"/>
      <c r="E36" s="25"/>
      <c r="F36" s="116"/>
      <c r="G36" s="116"/>
      <c r="H36" s="114"/>
      <c r="I36" s="114"/>
      <c r="J36" s="114"/>
      <c r="K36" s="131"/>
      <c r="L36" s="198"/>
      <c r="M36" s="198"/>
      <c r="N36" s="198"/>
      <c r="O36" s="198"/>
      <c r="P36" s="198"/>
      <c r="Q36" s="198">
        <v>0</v>
      </c>
      <c r="R36" s="25">
        <f t="shared" si="12"/>
        <v>600000</v>
      </c>
      <c r="S36" s="198"/>
      <c r="T36" s="25">
        <f t="shared" si="13"/>
        <v>600000</v>
      </c>
      <c r="U36" s="198">
        <v>600000</v>
      </c>
      <c r="V36" s="25">
        <f t="shared" si="14"/>
        <v>600000</v>
      </c>
      <c r="W36" s="199">
        <v>902</v>
      </c>
      <c r="X36" s="197"/>
      <c r="Y36" s="198">
        <v>600000</v>
      </c>
      <c r="Z36" s="197"/>
      <c r="AA36" s="198">
        <v>600000</v>
      </c>
      <c r="AB36" s="197"/>
      <c r="AC36" s="198">
        <v>600000</v>
      </c>
      <c r="AD36" s="197">
        <f t="shared" si="4"/>
        <v>600000</v>
      </c>
      <c r="AE36" s="204"/>
    </row>
    <row r="37" spans="1:31" ht="24" x14ac:dyDescent="0.3">
      <c r="A37" s="171"/>
      <c r="B37" s="165" t="s">
        <v>153</v>
      </c>
      <c r="C37" s="16"/>
      <c r="D37" s="16"/>
      <c r="E37" s="25"/>
      <c r="F37" s="116"/>
      <c r="G37" s="116"/>
      <c r="H37" s="114"/>
      <c r="I37" s="114"/>
      <c r="J37" s="114"/>
      <c r="K37" s="131"/>
      <c r="L37" s="198"/>
      <c r="M37" s="198"/>
      <c r="N37" s="198"/>
      <c r="O37" s="198"/>
      <c r="P37" s="198"/>
      <c r="Q37" s="198">
        <v>0</v>
      </c>
      <c r="R37" s="25">
        <f t="shared" si="12"/>
        <v>0</v>
      </c>
      <c r="S37" s="198"/>
      <c r="T37" s="25">
        <f t="shared" si="13"/>
        <v>0</v>
      </c>
      <c r="U37" s="198"/>
      <c r="V37" s="25">
        <f t="shared" si="14"/>
        <v>1814718</v>
      </c>
      <c r="W37" s="199">
        <v>904</v>
      </c>
      <c r="X37" s="197"/>
      <c r="Y37" s="198"/>
      <c r="Z37" s="197"/>
      <c r="AA37" s="198"/>
      <c r="AB37" s="197"/>
      <c r="AC37" s="198">
        <v>1814718</v>
      </c>
      <c r="AD37" s="197">
        <f t="shared" si="4"/>
        <v>0</v>
      </c>
      <c r="AE37" s="204"/>
    </row>
    <row r="38" spans="1:31" ht="48.75" customHeight="1" x14ac:dyDescent="0.3">
      <c r="A38" s="171"/>
      <c r="B38" s="165" t="s">
        <v>152</v>
      </c>
      <c r="C38" s="16"/>
      <c r="D38" s="16"/>
      <c r="E38" s="25"/>
      <c r="F38" s="116">
        <f t="shared" si="15"/>
        <v>0</v>
      </c>
      <c r="G38" s="116">
        <f t="shared" si="16"/>
        <v>0</v>
      </c>
      <c r="H38" s="114"/>
      <c r="I38" s="114"/>
      <c r="J38" s="114"/>
      <c r="K38" s="131"/>
      <c r="L38" s="198">
        <v>16427.64</v>
      </c>
      <c r="M38" s="198">
        <f t="shared" si="19"/>
        <v>16427.64</v>
      </c>
      <c r="N38" s="198">
        <v>0</v>
      </c>
      <c r="O38" s="198"/>
      <c r="P38" s="198"/>
      <c r="Q38" s="198">
        <v>0</v>
      </c>
      <c r="R38" s="25">
        <f t="shared" si="12"/>
        <v>18064</v>
      </c>
      <c r="S38" s="198">
        <v>0</v>
      </c>
      <c r="T38" s="25">
        <f t="shared" si="13"/>
        <v>18064</v>
      </c>
      <c r="U38" s="198">
        <v>18064</v>
      </c>
      <c r="V38" s="25">
        <f t="shared" si="14"/>
        <v>0</v>
      </c>
      <c r="W38" s="199">
        <v>907</v>
      </c>
      <c r="X38" s="197"/>
      <c r="Y38" s="198">
        <v>18064</v>
      </c>
      <c r="Z38" s="197"/>
      <c r="AA38" s="198">
        <v>18064</v>
      </c>
      <c r="AB38" s="197"/>
      <c r="AC38" s="198"/>
      <c r="AD38" s="197">
        <f t="shared" si="4"/>
        <v>18064</v>
      </c>
      <c r="AE38" s="204"/>
    </row>
    <row r="39" spans="1:31" ht="28.8" x14ac:dyDescent="0.3">
      <c r="A39" s="171"/>
      <c r="B39" s="165" t="s">
        <v>167</v>
      </c>
      <c r="C39" s="16"/>
      <c r="D39" s="16"/>
      <c r="E39" s="25"/>
      <c r="F39" s="116">
        <f t="shared" si="15"/>
        <v>0</v>
      </c>
      <c r="G39" s="116">
        <f t="shared" si="16"/>
        <v>0</v>
      </c>
      <c r="H39" s="114"/>
      <c r="I39" s="114"/>
      <c r="J39" s="114"/>
      <c r="K39" s="131"/>
      <c r="L39" s="198">
        <v>0</v>
      </c>
      <c r="M39" s="198">
        <f t="shared" si="19"/>
        <v>0</v>
      </c>
      <c r="N39" s="198">
        <v>0</v>
      </c>
      <c r="O39" s="198"/>
      <c r="P39" s="198"/>
      <c r="Q39" s="198">
        <v>0</v>
      </c>
      <c r="R39" s="25">
        <f t="shared" si="12"/>
        <v>4000000</v>
      </c>
      <c r="S39" s="198">
        <v>0</v>
      </c>
      <c r="T39" s="25">
        <f t="shared" si="13"/>
        <v>0</v>
      </c>
      <c r="U39" s="198"/>
      <c r="V39" s="25">
        <f t="shared" si="14"/>
        <v>0</v>
      </c>
      <c r="W39" s="199">
        <v>905</v>
      </c>
      <c r="X39" s="197"/>
      <c r="Y39" s="198">
        <v>4000000</v>
      </c>
      <c r="Z39" s="197"/>
      <c r="AA39" s="198"/>
      <c r="AB39" s="197"/>
      <c r="AC39" s="198"/>
      <c r="AD39" s="197">
        <f t="shared" si="4"/>
        <v>4000000</v>
      </c>
      <c r="AE39" s="204" t="s">
        <v>182</v>
      </c>
    </row>
    <row r="40" spans="1:31" ht="36" hidden="1" x14ac:dyDescent="0.3">
      <c r="A40" s="171"/>
      <c r="B40" s="165" t="s">
        <v>33</v>
      </c>
      <c r="C40" s="16"/>
      <c r="D40" s="16"/>
      <c r="E40" s="25"/>
      <c r="F40" s="116">
        <f t="shared" si="15"/>
        <v>0</v>
      </c>
      <c r="G40" s="116">
        <f t="shared" si="16"/>
        <v>0</v>
      </c>
      <c r="H40" s="114"/>
      <c r="I40" s="114"/>
      <c r="J40" s="114"/>
      <c r="K40" s="131"/>
      <c r="L40" s="198">
        <f t="shared" si="25"/>
        <v>0</v>
      </c>
      <c r="M40" s="198">
        <f t="shared" si="19"/>
        <v>0</v>
      </c>
      <c r="N40" s="198">
        <v>0</v>
      </c>
      <c r="O40" s="198"/>
      <c r="P40" s="198"/>
      <c r="Q40" s="198"/>
      <c r="R40" s="25">
        <f t="shared" si="12"/>
        <v>0</v>
      </c>
      <c r="S40" s="198">
        <v>0</v>
      </c>
      <c r="T40" s="25">
        <f t="shared" si="13"/>
        <v>0</v>
      </c>
      <c r="U40" s="198"/>
      <c r="V40" s="25">
        <f t="shared" si="14"/>
        <v>0</v>
      </c>
      <c r="W40" s="199"/>
      <c r="X40" s="197"/>
      <c r="Y40" s="198"/>
      <c r="Z40" s="197"/>
      <c r="AA40" s="198"/>
      <c r="AB40" s="197"/>
      <c r="AC40" s="198"/>
      <c r="AD40" s="197">
        <f t="shared" si="4"/>
        <v>0</v>
      </c>
      <c r="AE40" s="204"/>
    </row>
    <row r="41" spans="1:31" ht="48" hidden="1" x14ac:dyDescent="0.3">
      <c r="A41" s="171"/>
      <c r="B41" s="165" t="s">
        <v>50</v>
      </c>
      <c r="C41" s="16">
        <v>79</v>
      </c>
      <c r="D41" s="16"/>
      <c r="E41" s="25">
        <v>79000</v>
      </c>
      <c r="F41" s="116"/>
      <c r="G41" s="116"/>
      <c r="H41" s="114"/>
      <c r="I41" s="114"/>
      <c r="J41" s="114"/>
      <c r="K41" s="131"/>
      <c r="L41" s="198">
        <f t="shared" si="25"/>
        <v>0</v>
      </c>
      <c r="M41" s="198">
        <f t="shared" si="19"/>
        <v>0</v>
      </c>
      <c r="N41" s="198">
        <v>0</v>
      </c>
      <c r="O41" s="198"/>
      <c r="P41" s="198"/>
      <c r="Q41" s="198"/>
      <c r="R41" s="25">
        <f t="shared" si="12"/>
        <v>0</v>
      </c>
      <c r="S41" s="198">
        <v>0</v>
      </c>
      <c r="T41" s="25">
        <f t="shared" si="13"/>
        <v>0</v>
      </c>
      <c r="U41" s="198"/>
      <c r="V41" s="25">
        <f t="shared" si="14"/>
        <v>0</v>
      </c>
      <c r="W41" s="199"/>
      <c r="X41" s="197"/>
      <c r="Y41" s="198"/>
      <c r="Z41" s="197"/>
      <c r="AA41" s="198"/>
      <c r="AB41" s="197"/>
      <c r="AC41" s="198"/>
      <c r="AD41" s="197">
        <f t="shared" si="4"/>
        <v>0</v>
      </c>
      <c r="AE41" s="204"/>
    </row>
    <row r="42" spans="1:31" ht="16.95" customHeight="1" x14ac:dyDescent="0.3">
      <c r="A42" s="171" t="s">
        <v>43</v>
      </c>
      <c r="B42" s="165" t="s">
        <v>3</v>
      </c>
      <c r="C42" s="140">
        <f>C43+C55+C56+C57+C59</f>
        <v>726424</v>
      </c>
      <c r="D42" s="140">
        <f>D43+D55+D56+D57+D59</f>
        <v>0</v>
      </c>
      <c r="E42" s="140">
        <f>E43+E55+E56+E57+E59</f>
        <v>726423994</v>
      </c>
      <c r="F42" s="140">
        <f>F43+F55+F56+F57+F59</f>
        <v>726423.99399999995</v>
      </c>
      <c r="G42" s="140">
        <f>G43+G55+G56+G57+G59</f>
        <v>-6.0000000003128662E-3</v>
      </c>
      <c r="H42" s="140">
        <f t="shared" ref="H42:N42" si="27">H43+H55+H56+H57+H59+H60</f>
        <v>608092</v>
      </c>
      <c r="I42" s="140">
        <f t="shared" si="27"/>
        <v>774941</v>
      </c>
      <c r="J42" s="140">
        <f t="shared" si="27"/>
        <v>696541</v>
      </c>
      <c r="K42" s="141">
        <f t="shared" si="27"/>
        <v>545714</v>
      </c>
      <c r="L42" s="143">
        <f t="shared" si="27"/>
        <v>900553600</v>
      </c>
      <c r="M42" s="143">
        <f t="shared" si="27"/>
        <v>898699886</v>
      </c>
      <c r="N42" s="143">
        <f t="shared" si="27"/>
        <v>417933</v>
      </c>
      <c r="O42" s="143"/>
      <c r="P42" s="143"/>
      <c r="Q42" s="143">
        <f>Q43+Q55+Q56+Q57+Q59</f>
        <v>712343400</v>
      </c>
      <c r="R42" s="25">
        <f>X42+Y42</f>
        <v>970618622</v>
      </c>
      <c r="S42" s="143">
        <v>853866400</v>
      </c>
      <c r="T42" s="25">
        <f t="shared" si="13"/>
        <v>964498001</v>
      </c>
      <c r="U42" s="143">
        <f>U43+U55+U56+U57+U59+U60</f>
        <v>1018980000</v>
      </c>
      <c r="V42" s="25">
        <f t="shared" si="14"/>
        <v>1119375814</v>
      </c>
      <c r="W42" s="199"/>
      <c r="X42" s="143">
        <f>X43+X55+X56+X57+X59+X60+X58</f>
        <v>3714622</v>
      </c>
      <c r="Y42" s="143">
        <f>Y43+Y55+Y56+Y57+Y59+Y60+Y58</f>
        <v>966904000</v>
      </c>
      <c r="Z42" s="143">
        <f t="shared" ref="Z42:AC42" si="28">Z43+Z55+Z56+Z57+Z59+Z60+Z58</f>
        <v>14210001</v>
      </c>
      <c r="AA42" s="143">
        <f t="shared" si="28"/>
        <v>950288000</v>
      </c>
      <c r="AB42" s="143">
        <f t="shared" si="28"/>
        <v>14886814</v>
      </c>
      <c r="AC42" s="143">
        <f t="shared" si="28"/>
        <v>1104489000</v>
      </c>
      <c r="AD42" s="197">
        <f t="shared" si="4"/>
        <v>258275222</v>
      </c>
      <c r="AE42" s="204"/>
    </row>
    <row r="43" spans="1:31" ht="24.6" customHeight="1" x14ac:dyDescent="0.3">
      <c r="A43" s="171" t="s">
        <v>44</v>
      </c>
      <c r="B43" s="165" t="s">
        <v>4</v>
      </c>
      <c r="C43" s="140">
        <f>SUM(C44:C54)</f>
        <v>691386</v>
      </c>
      <c r="D43" s="140">
        <f>SUM(D44:D54)</f>
        <v>0</v>
      </c>
      <c r="E43" s="143">
        <f>SUM(E44:E54)</f>
        <v>691386000</v>
      </c>
      <c r="F43" s="116">
        <f t="shared" si="15"/>
        <v>691386</v>
      </c>
      <c r="G43" s="116">
        <f>F43-C43</f>
        <v>0</v>
      </c>
      <c r="H43" s="140">
        <f t="shared" ref="H43:N43" si="29">SUM(H44:H54)</f>
        <v>576319</v>
      </c>
      <c r="I43" s="140">
        <f t="shared" si="29"/>
        <v>739626</v>
      </c>
      <c r="J43" s="140">
        <f t="shared" si="29"/>
        <v>662922</v>
      </c>
      <c r="K43" s="141">
        <f t="shared" si="29"/>
        <v>510529</v>
      </c>
      <c r="L43" s="143">
        <f t="shared" si="29"/>
        <v>859830000</v>
      </c>
      <c r="M43" s="143">
        <f t="shared" si="29"/>
        <v>858011471</v>
      </c>
      <c r="N43" s="143">
        <f t="shared" si="29"/>
        <v>383394</v>
      </c>
      <c r="O43" s="143"/>
      <c r="P43" s="143"/>
      <c r="Q43" s="143">
        <f>SUM(Q44:Q54)</f>
        <v>659459000</v>
      </c>
      <c r="R43" s="25">
        <f t="shared" si="12"/>
        <v>919004000</v>
      </c>
      <c r="S43" s="143">
        <v>800982000</v>
      </c>
      <c r="T43" s="25">
        <f t="shared" si="13"/>
        <v>867867000</v>
      </c>
      <c r="U43" s="143">
        <f t="shared" ref="U43" si="30">SUM(U44:U54)</f>
        <v>936559000</v>
      </c>
      <c r="V43" s="25">
        <f t="shared" si="14"/>
        <v>1021364000</v>
      </c>
      <c r="W43" s="201"/>
      <c r="X43" s="143">
        <f t="shared" ref="X43:AC43" si="31">SUM(X44:X54)</f>
        <v>0</v>
      </c>
      <c r="Y43" s="143">
        <f>SUM(Y44:Y54)</f>
        <v>919004000</v>
      </c>
      <c r="Z43" s="143">
        <f t="shared" si="31"/>
        <v>0</v>
      </c>
      <c r="AA43" s="143">
        <f t="shared" si="31"/>
        <v>867867000</v>
      </c>
      <c r="AB43" s="143">
        <f t="shared" si="31"/>
        <v>0</v>
      </c>
      <c r="AC43" s="143">
        <f t="shared" si="31"/>
        <v>1021364000</v>
      </c>
      <c r="AD43" s="197">
        <f t="shared" si="4"/>
        <v>259545000</v>
      </c>
      <c r="AE43" s="204"/>
    </row>
    <row r="44" spans="1:31" ht="60" customHeight="1" x14ac:dyDescent="0.3">
      <c r="A44" s="171"/>
      <c r="B44" s="165" t="s">
        <v>5</v>
      </c>
      <c r="C44" s="122">
        <v>386036</v>
      </c>
      <c r="D44" s="123"/>
      <c r="E44" s="124">
        <v>386036000</v>
      </c>
      <c r="F44" s="116">
        <f t="shared" si="15"/>
        <v>386036</v>
      </c>
      <c r="G44" s="116">
        <f t="shared" si="16"/>
        <v>0</v>
      </c>
      <c r="H44" s="114">
        <v>334797</v>
      </c>
      <c r="I44" s="114">
        <v>430728</v>
      </c>
      <c r="J44" s="114">
        <v>385292</v>
      </c>
      <c r="K44" s="131">
        <v>300084</v>
      </c>
      <c r="L44" s="198">
        <v>493908000</v>
      </c>
      <c r="M44" s="198">
        <f t="shared" ref="M44:M63" si="32">L44-K44</f>
        <v>493607916</v>
      </c>
      <c r="N44" s="198">
        <v>224097</v>
      </c>
      <c r="O44" s="198"/>
      <c r="P44" s="198"/>
      <c r="Q44" s="198">
        <v>307818000</v>
      </c>
      <c r="R44" s="25">
        <f t="shared" si="12"/>
        <v>536533000</v>
      </c>
      <c r="S44" s="198">
        <v>449375000</v>
      </c>
      <c r="T44" s="25">
        <f t="shared" si="13"/>
        <v>490287000</v>
      </c>
      <c r="U44" s="198">
        <v>536543000</v>
      </c>
      <c r="V44" s="25">
        <f t="shared" si="14"/>
        <v>591491000</v>
      </c>
      <c r="W44" s="199">
        <v>906</v>
      </c>
      <c r="X44" s="197"/>
      <c r="Y44" s="198">
        <v>536533000</v>
      </c>
      <c r="Z44" s="197"/>
      <c r="AA44" s="198">
        <v>490287000</v>
      </c>
      <c r="AB44" s="197"/>
      <c r="AC44" s="198">
        <v>591491000</v>
      </c>
      <c r="AD44" s="197">
        <f t="shared" si="4"/>
        <v>228715000</v>
      </c>
      <c r="AE44" s="204"/>
    </row>
    <row r="45" spans="1:31" ht="42.75" customHeight="1" x14ac:dyDescent="0.3">
      <c r="A45" s="171"/>
      <c r="B45" s="165" t="s">
        <v>6</v>
      </c>
      <c r="C45" s="122">
        <v>295813</v>
      </c>
      <c r="D45" s="123"/>
      <c r="E45" s="124">
        <v>295813000</v>
      </c>
      <c r="F45" s="116">
        <f t="shared" si="15"/>
        <v>295813</v>
      </c>
      <c r="G45" s="116">
        <f t="shared" si="16"/>
        <v>0</v>
      </c>
      <c r="H45" s="114">
        <v>231806</v>
      </c>
      <c r="I45" s="114">
        <v>299172</v>
      </c>
      <c r="J45" s="114">
        <v>267660</v>
      </c>
      <c r="K45" s="131">
        <v>199795</v>
      </c>
      <c r="L45" s="198">
        <v>352017000</v>
      </c>
      <c r="M45" s="198">
        <f t="shared" si="32"/>
        <v>351817205</v>
      </c>
      <c r="N45" s="198">
        <v>148579</v>
      </c>
      <c r="O45" s="198"/>
      <c r="P45" s="198"/>
      <c r="Q45" s="198">
        <v>339524000</v>
      </c>
      <c r="R45" s="25">
        <f t="shared" si="12"/>
        <v>362453000</v>
      </c>
      <c r="S45" s="198">
        <v>339524000</v>
      </c>
      <c r="T45" s="25">
        <f t="shared" si="13"/>
        <v>357193000</v>
      </c>
      <c r="U45" s="198">
        <v>379629000</v>
      </c>
      <c r="V45" s="25">
        <f t="shared" si="14"/>
        <v>409103000</v>
      </c>
      <c r="W45" s="199">
        <v>906</v>
      </c>
      <c r="X45" s="197"/>
      <c r="Y45" s="198">
        <v>362453000</v>
      </c>
      <c r="Z45" s="197"/>
      <c r="AA45" s="198">
        <v>357193000</v>
      </c>
      <c r="AB45" s="197"/>
      <c r="AC45" s="198">
        <v>409103000</v>
      </c>
      <c r="AD45" s="197">
        <f t="shared" si="4"/>
        <v>22929000</v>
      </c>
      <c r="AE45" s="204"/>
    </row>
    <row r="46" spans="1:31" ht="32.25" customHeight="1" x14ac:dyDescent="0.3">
      <c r="A46" s="171"/>
      <c r="B46" s="165" t="s">
        <v>7</v>
      </c>
      <c r="C46" s="122">
        <v>6199</v>
      </c>
      <c r="D46" s="123"/>
      <c r="E46" s="124">
        <v>6199000</v>
      </c>
      <c r="F46" s="116">
        <f t="shared" si="15"/>
        <v>6199</v>
      </c>
      <c r="G46" s="116">
        <f t="shared" si="16"/>
        <v>0</v>
      </c>
      <c r="H46" s="114">
        <v>6291</v>
      </c>
      <c r="I46" s="114">
        <v>6291</v>
      </c>
      <c r="J46" s="114">
        <v>6463</v>
      </c>
      <c r="K46" s="131">
        <v>5889</v>
      </c>
      <c r="L46" s="198">
        <v>7030000</v>
      </c>
      <c r="M46" s="198">
        <f t="shared" si="32"/>
        <v>7024111</v>
      </c>
      <c r="N46" s="198">
        <v>5889</v>
      </c>
      <c r="O46" s="198"/>
      <c r="P46" s="198"/>
      <c r="Q46" s="198">
        <v>6515000</v>
      </c>
      <c r="R46" s="25">
        <f t="shared" si="12"/>
        <v>7478000</v>
      </c>
      <c r="S46" s="198">
        <v>6515000</v>
      </c>
      <c r="T46" s="25">
        <f t="shared" si="13"/>
        <v>7478000</v>
      </c>
      <c r="U46" s="198">
        <v>7478000</v>
      </c>
      <c r="V46" s="25">
        <f t="shared" si="14"/>
        <v>7478000</v>
      </c>
      <c r="W46" s="199">
        <v>906</v>
      </c>
      <c r="X46" s="197"/>
      <c r="Y46" s="198">
        <v>7478000</v>
      </c>
      <c r="Z46" s="197"/>
      <c r="AA46" s="198">
        <v>7478000</v>
      </c>
      <c r="AB46" s="197"/>
      <c r="AC46" s="198">
        <v>7478000</v>
      </c>
      <c r="AD46" s="197">
        <f t="shared" si="4"/>
        <v>963000</v>
      </c>
      <c r="AE46" s="204"/>
    </row>
    <row r="47" spans="1:31" ht="34.5" customHeight="1" x14ac:dyDescent="0.3">
      <c r="A47" s="171"/>
      <c r="B47" s="165" t="s">
        <v>8</v>
      </c>
      <c r="C47" s="122">
        <v>2</v>
      </c>
      <c r="D47" s="123"/>
      <c r="E47" s="124">
        <v>2000</v>
      </c>
      <c r="F47" s="116">
        <f t="shared" si="15"/>
        <v>2</v>
      </c>
      <c r="G47" s="116">
        <f t="shared" si="16"/>
        <v>0</v>
      </c>
      <c r="H47" s="114">
        <v>2</v>
      </c>
      <c r="I47" s="114">
        <v>2</v>
      </c>
      <c r="J47" s="114">
        <v>2</v>
      </c>
      <c r="K47" s="131">
        <v>2</v>
      </c>
      <c r="L47" s="198">
        <f t="shared" ref="L47:L63" si="33">X47+Y47</f>
        <v>2000</v>
      </c>
      <c r="M47" s="198">
        <f t="shared" si="32"/>
        <v>1998</v>
      </c>
      <c r="N47" s="198">
        <v>2</v>
      </c>
      <c r="O47" s="198"/>
      <c r="P47" s="198"/>
      <c r="Q47" s="198">
        <f t="shared" ref="Q47" si="34">Y47+Z47</f>
        <v>2000</v>
      </c>
      <c r="R47" s="25">
        <f t="shared" si="12"/>
        <v>2000</v>
      </c>
      <c r="S47" s="198">
        <v>2000</v>
      </c>
      <c r="T47" s="25">
        <f t="shared" si="13"/>
        <v>2000</v>
      </c>
      <c r="U47" s="198">
        <v>2000</v>
      </c>
      <c r="V47" s="25">
        <f t="shared" si="14"/>
        <v>2000</v>
      </c>
      <c r="W47" s="199">
        <v>902</v>
      </c>
      <c r="X47" s="197"/>
      <c r="Y47" s="198">
        <v>2000</v>
      </c>
      <c r="Z47" s="197"/>
      <c r="AA47" s="198">
        <v>2000</v>
      </c>
      <c r="AB47" s="197"/>
      <c r="AC47" s="198">
        <v>2000</v>
      </c>
      <c r="AD47" s="197">
        <f t="shared" si="4"/>
        <v>0</v>
      </c>
      <c r="AE47" s="204"/>
    </row>
    <row r="48" spans="1:31" ht="29.25" customHeight="1" x14ac:dyDescent="0.3">
      <c r="A48" s="171"/>
      <c r="B48" s="165" t="s">
        <v>9</v>
      </c>
      <c r="C48" s="122">
        <v>558</v>
      </c>
      <c r="D48" s="123"/>
      <c r="E48" s="124">
        <v>558000</v>
      </c>
      <c r="F48" s="116">
        <f t="shared" si="15"/>
        <v>558</v>
      </c>
      <c r="G48" s="116">
        <f t="shared" si="16"/>
        <v>0</v>
      </c>
      <c r="H48" s="114">
        <v>558</v>
      </c>
      <c r="I48" s="114">
        <v>558</v>
      </c>
      <c r="J48" s="114">
        <v>579</v>
      </c>
      <c r="K48" s="131">
        <v>570</v>
      </c>
      <c r="L48" s="198">
        <v>688000</v>
      </c>
      <c r="M48" s="198">
        <f t="shared" si="32"/>
        <v>687430</v>
      </c>
      <c r="N48" s="198">
        <v>570</v>
      </c>
      <c r="O48" s="198"/>
      <c r="P48" s="198"/>
      <c r="Q48" s="198">
        <v>641000</v>
      </c>
      <c r="R48" s="25">
        <f t="shared" si="12"/>
        <v>754000</v>
      </c>
      <c r="S48" s="198">
        <v>641000</v>
      </c>
      <c r="T48" s="25">
        <f t="shared" si="13"/>
        <v>754000</v>
      </c>
      <c r="U48" s="198">
        <v>754000</v>
      </c>
      <c r="V48" s="25">
        <f t="shared" si="14"/>
        <v>754000</v>
      </c>
      <c r="W48" s="199">
        <v>902</v>
      </c>
      <c r="X48" s="197"/>
      <c r="Y48" s="198">
        <v>754000</v>
      </c>
      <c r="Z48" s="197"/>
      <c r="AA48" s="198">
        <v>754000</v>
      </c>
      <c r="AB48" s="198"/>
      <c r="AC48" s="198">
        <v>754000</v>
      </c>
      <c r="AD48" s="197">
        <f t="shared" si="4"/>
        <v>113000</v>
      </c>
      <c r="AE48" s="204"/>
    </row>
    <row r="49" spans="1:31" ht="48" customHeight="1" x14ac:dyDescent="0.3">
      <c r="A49" s="171"/>
      <c r="B49" s="165" t="s">
        <v>143</v>
      </c>
      <c r="C49" s="122"/>
      <c r="D49" s="123"/>
      <c r="E49" s="124"/>
      <c r="F49" s="116"/>
      <c r="G49" s="116"/>
      <c r="H49" s="114"/>
      <c r="I49" s="114"/>
      <c r="J49" s="114"/>
      <c r="K49" s="131"/>
      <c r="L49" s="198">
        <v>34000</v>
      </c>
      <c r="M49" s="198"/>
      <c r="N49" s="198"/>
      <c r="O49" s="198"/>
      <c r="P49" s="198"/>
      <c r="Q49" s="198">
        <v>34000</v>
      </c>
      <c r="R49" s="25">
        <f t="shared" si="12"/>
        <v>37000</v>
      </c>
      <c r="S49" s="198"/>
      <c r="T49" s="25">
        <f t="shared" si="13"/>
        <v>37000</v>
      </c>
      <c r="U49" s="198">
        <v>37000</v>
      </c>
      <c r="V49" s="25">
        <f t="shared" si="14"/>
        <v>37000</v>
      </c>
      <c r="W49" s="199">
        <v>905</v>
      </c>
      <c r="X49" s="197"/>
      <c r="Y49" s="198">
        <v>37000</v>
      </c>
      <c r="Z49" s="197"/>
      <c r="AA49" s="198">
        <v>37000</v>
      </c>
      <c r="AB49" s="198"/>
      <c r="AC49" s="198">
        <v>37000</v>
      </c>
      <c r="AD49" s="197">
        <f t="shared" si="4"/>
        <v>3000</v>
      </c>
      <c r="AE49" s="204"/>
    </row>
    <row r="50" spans="1:31" ht="27.6" customHeight="1" x14ac:dyDescent="0.3">
      <c r="A50" s="171"/>
      <c r="B50" s="30" t="s">
        <v>142</v>
      </c>
      <c r="C50" s="122"/>
      <c r="D50" s="123"/>
      <c r="E50" s="124"/>
      <c r="F50" s="116"/>
      <c r="G50" s="116"/>
      <c r="H50" s="114"/>
      <c r="I50" s="114"/>
      <c r="J50" s="114"/>
      <c r="K50" s="131"/>
      <c r="L50" s="198">
        <v>1274000</v>
      </c>
      <c r="M50" s="198"/>
      <c r="N50" s="198"/>
      <c r="O50" s="198"/>
      <c r="P50" s="198"/>
      <c r="Q50" s="198">
        <v>1186000</v>
      </c>
      <c r="R50" s="25">
        <f t="shared" si="12"/>
        <v>1477000</v>
      </c>
      <c r="S50" s="198"/>
      <c r="T50" s="25">
        <f t="shared" si="13"/>
        <v>1495000</v>
      </c>
      <c r="U50" s="198">
        <v>1495000</v>
      </c>
      <c r="V50" s="25">
        <f t="shared" si="14"/>
        <v>1495000</v>
      </c>
      <c r="W50" s="199">
        <v>902</v>
      </c>
      <c r="X50" s="197"/>
      <c r="Y50" s="198">
        <v>1477000</v>
      </c>
      <c r="Z50" s="197"/>
      <c r="AA50" s="198">
        <v>1495000</v>
      </c>
      <c r="AB50" s="198"/>
      <c r="AC50" s="198">
        <v>1495000</v>
      </c>
      <c r="AD50" s="197">
        <f t="shared" si="4"/>
        <v>291000</v>
      </c>
      <c r="AE50" s="204"/>
    </row>
    <row r="51" spans="1:31" ht="24" hidden="1" customHeight="1" x14ac:dyDescent="0.3">
      <c r="A51" s="171"/>
      <c r="B51" s="165" t="s">
        <v>10</v>
      </c>
      <c r="C51" s="122">
        <v>1032</v>
      </c>
      <c r="D51" s="123"/>
      <c r="E51" s="124">
        <v>1032000</v>
      </c>
      <c r="F51" s="116">
        <f t="shared" si="15"/>
        <v>1032</v>
      </c>
      <c r="G51" s="116">
        <f t="shared" si="16"/>
        <v>0</v>
      </c>
      <c r="H51" s="114">
        <v>1037</v>
      </c>
      <c r="I51" s="114">
        <v>1037</v>
      </c>
      <c r="J51" s="114">
        <v>1076</v>
      </c>
      <c r="K51" s="131">
        <v>1054</v>
      </c>
      <c r="L51" s="198">
        <f t="shared" si="33"/>
        <v>0</v>
      </c>
      <c r="M51" s="198">
        <f t="shared" si="32"/>
        <v>-1054</v>
      </c>
      <c r="N51" s="198">
        <v>1054</v>
      </c>
      <c r="O51" s="198"/>
      <c r="P51" s="198"/>
      <c r="Q51" s="198">
        <f t="shared" ref="Q51" si="35">Y51+Z51</f>
        <v>0</v>
      </c>
      <c r="R51" s="25">
        <f t="shared" si="12"/>
        <v>0</v>
      </c>
      <c r="S51" s="198">
        <v>1186000</v>
      </c>
      <c r="T51" s="25">
        <f t="shared" si="13"/>
        <v>0</v>
      </c>
      <c r="U51" s="198"/>
      <c r="V51" s="25">
        <f t="shared" si="14"/>
        <v>0</v>
      </c>
      <c r="W51" s="199">
        <v>902</v>
      </c>
      <c r="X51" s="197"/>
      <c r="Y51" s="198"/>
      <c r="Z51" s="197"/>
      <c r="AA51" s="198"/>
      <c r="AB51" s="197"/>
      <c r="AC51" s="198"/>
      <c r="AD51" s="197">
        <f t="shared" si="4"/>
        <v>0</v>
      </c>
      <c r="AE51" s="204"/>
    </row>
    <row r="52" spans="1:31" ht="34.5" customHeight="1" x14ac:dyDescent="0.3">
      <c r="A52" s="171"/>
      <c r="B52" s="165" t="s">
        <v>11</v>
      </c>
      <c r="C52" s="122">
        <v>542</v>
      </c>
      <c r="D52" s="123"/>
      <c r="E52" s="124">
        <v>542000</v>
      </c>
      <c r="F52" s="116">
        <f t="shared" si="15"/>
        <v>542</v>
      </c>
      <c r="G52" s="116">
        <f t="shared" si="16"/>
        <v>0</v>
      </c>
      <c r="H52" s="114">
        <v>542</v>
      </c>
      <c r="I52" s="114">
        <v>542</v>
      </c>
      <c r="J52" s="114">
        <v>564</v>
      </c>
      <c r="K52" s="131">
        <v>554</v>
      </c>
      <c r="L52" s="198">
        <v>669000</v>
      </c>
      <c r="M52" s="198">
        <f t="shared" si="32"/>
        <v>668446</v>
      </c>
      <c r="N52" s="198">
        <v>554</v>
      </c>
      <c r="O52" s="198"/>
      <c r="P52" s="198"/>
      <c r="Q52" s="198">
        <v>623000</v>
      </c>
      <c r="R52" s="25">
        <f t="shared" si="12"/>
        <v>733000</v>
      </c>
      <c r="S52" s="198">
        <v>623000</v>
      </c>
      <c r="T52" s="25">
        <f t="shared" si="13"/>
        <v>733000</v>
      </c>
      <c r="U52" s="198">
        <v>733000</v>
      </c>
      <c r="V52" s="25">
        <f t="shared" si="14"/>
        <v>733000</v>
      </c>
      <c r="W52" s="199">
        <v>902</v>
      </c>
      <c r="X52" s="197"/>
      <c r="Y52" s="198">
        <v>733000</v>
      </c>
      <c r="Z52" s="197"/>
      <c r="AA52" s="198">
        <v>733000</v>
      </c>
      <c r="AB52" s="197"/>
      <c r="AC52" s="198">
        <v>733000</v>
      </c>
      <c r="AD52" s="197">
        <f t="shared" si="4"/>
        <v>110000</v>
      </c>
      <c r="AE52" s="204"/>
    </row>
    <row r="53" spans="1:31" ht="42" customHeight="1" x14ac:dyDescent="0.3">
      <c r="A53" s="171"/>
      <c r="B53" s="165" t="s">
        <v>12</v>
      </c>
      <c r="C53" s="122">
        <v>762</v>
      </c>
      <c r="D53" s="123"/>
      <c r="E53" s="124">
        <v>762000</v>
      </c>
      <c r="F53" s="116">
        <f t="shared" si="15"/>
        <v>762</v>
      </c>
      <c r="G53" s="116">
        <f t="shared" si="16"/>
        <v>0</v>
      </c>
      <c r="H53" s="114">
        <v>778</v>
      </c>
      <c r="I53" s="114">
        <v>778</v>
      </c>
      <c r="J53" s="114">
        <v>778</v>
      </c>
      <c r="K53" s="131">
        <v>795</v>
      </c>
      <c r="L53" s="198">
        <v>1214000</v>
      </c>
      <c r="M53" s="198">
        <f t="shared" si="32"/>
        <v>1213205</v>
      </c>
      <c r="N53" s="198">
        <v>795</v>
      </c>
      <c r="O53" s="198"/>
      <c r="P53" s="198"/>
      <c r="Q53" s="198">
        <v>1160000</v>
      </c>
      <c r="R53" s="25">
        <f t="shared" si="12"/>
        <v>1373000</v>
      </c>
      <c r="S53" s="198">
        <v>1160000</v>
      </c>
      <c r="T53" s="25">
        <f t="shared" si="13"/>
        <v>1373000</v>
      </c>
      <c r="U53" s="198">
        <v>1373000</v>
      </c>
      <c r="V53" s="25">
        <f t="shared" si="14"/>
        <v>1373000</v>
      </c>
      <c r="W53" s="199">
        <v>905</v>
      </c>
      <c r="X53" s="197"/>
      <c r="Y53" s="198">
        <v>1373000</v>
      </c>
      <c r="Z53" s="197"/>
      <c r="AA53" s="198">
        <v>1373000</v>
      </c>
      <c r="AB53" s="197"/>
      <c r="AC53" s="198">
        <v>1373000</v>
      </c>
      <c r="AD53" s="197">
        <f t="shared" si="4"/>
        <v>213000</v>
      </c>
      <c r="AE53" s="204"/>
    </row>
    <row r="54" spans="1:31" ht="27.6" customHeight="1" x14ac:dyDescent="0.3">
      <c r="A54" s="171"/>
      <c r="B54" s="165" t="s">
        <v>124</v>
      </c>
      <c r="C54" s="122">
        <v>442</v>
      </c>
      <c r="D54" s="123"/>
      <c r="E54" s="124">
        <v>442000</v>
      </c>
      <c r="F54" s="116">
        <f t="shared" si="15"/>
        <v>442</v>
      </c>
      <c r="G54" s="116">
        <f t="shared" si="16"/>
        <v>0</v>
      </c>
      <c r="H54" s="114">
        <v>508</v>
      </c>
      <c r="I54" s="114">
        <v>518</v>
      </c>
      <c r="J54" s="114">
        <v>508</v>
      </c>
      <c r="K54" s="131">
        <v>1786</v>
      </c>
      <c r="L54" s="198">
        <v>2994000</v>
      </c>
      <c r="M54" s="198">
        <f t="shared" si="32"/>
        <v>2992214</v>
      </c>
      <c r="N54" s="198">
        <v>1854</v>
      </c>
      <c r="O54" s="198"/>
      <c r="P54" s="198"/>
      <c r="Q54" s="198">
        <v>1956000</v>
      </c>
      <c r="R54" s="25">
        <f t="shared" si="12"/>
        <v>8164000</v>
      </c>
      <c r="S54" s="198">
        <v>1956000</v>
      </c>
      <c r="T54" s="25">
        <f t="shared" si="13"/>
        <v>8515000</v>
      </c>
      <c r="U54" s="198">
        <v>8515000</v>
      </c>
      <c r="V54" s="25">
        <f t="shared" si="14"/>
        <v>8898000</v>
      </c>
      <c r="W54" s="199">
        <v>905</v>
      </c>
      <c r="X54" s="197"/>
      <c r="Y54" s="198">
        <v>8164000</v>
      </c>
      <c r="Z54" s="197"/>
      <c r="AA54" s="198">
        <v>8515000</v>
      </c>
      <c r="AB54" s="197"/>
      <c r="AC54" s="198">
        <v>8898000</v>
      </c>
      <c r="AD54" s="197">
        <f t="shared" si="4"/>
        <v>6208000</v>
      </c>
      <c r="AE54" s="204"/>
    </row>
    <row r="55" spans="1:31" ht="31.95" customHeight="1" x14ac:dyDescent="0.3">
      <c r="A55" s="171" t="s">
        <v>45</v>
      </c>
      <c r="B55" s="165" t="s">
        <v>13</v>
      </c>
      <c r="C55" s="122">
        <v>25623</v>
      </c>
      <c r="D55" s="123"/>
      <c r="E55" s="124">
        <v>25623000</v>
      </c>
      <c r="F55" s="116">
        <f t="shared" si="15"/>
        <v>25623</v>
      </c>
      <c r="G55" s="116">
        <f t="shared" si="16"/>
        <v>0</v>
      </c>
      <c r="H55" s="114">
        <v>24886</v>
      </c>
      <c r="I55" s="114">
        <v>24886</v>
      </c>
      <c r="J55" s="114">
        <v>25882</v>
      </c>
      <c r="K55" s="131">
        <v>27714</v>
      </c>
      <c r="L55" s="198">
        <v>22723000</v>
      </c>
      <c r="M55" s="198">
        <f t="shared" si="32"/>
        <v>22695286</v>
      </c>
      <c r="N55" s="198">
        <v>27714</v>
      </c>
      <c r="O55" s="198"/>
      <c r="P55" s="198"/>
      <c r="Q55" s="198">
        <v>28143000</v>
      </c>
      <c r="R55" s="25">
        <f t="shared" si="12"/>
        <v>31556000</v>
      </c>
      <c r="S55" s="198">
        <v>28143000</v>
      </c>
      <c r="T55" s="25">
        <f t="shared" si="13"/>
        <v>31556000</v>
      </c>
      <c r="U55" s="198">
        <v>31556000</v>
      </c>
      <c r="V55" s="25">
        <f t="shared" si="14"/>
        <v>31556000</v>
      </c>
      <c r="W55" s="199">
        <v>906</v>
      </c>
      <c r="X55" s="197"/>
      <c r="Y55" s="198">
        <v>31556000</v>
      </c>
      <c r="Z55" s="197"/>
      <c r="AA55" s="198">
        <v>31556000</v>
      </c>
      <c r="AB55" s="197"/>
      <c r="AC55" s="198">
        <v>31556000</v>
      </c>
      <c r="AD55" s="197">
        <f t="shared" si="4"/>
        <v>3413000</v>
      </c>
      <c r="AE55" s="204"/>
    </row>
    <row r="56" spans="1:31" ht="48" customHeight="1" x14ac:dyDescent="0.3">
      <c r="A56" s="171" t="s">
        <v>46</v>
      </c>
      <c r="B56" s="165" t="s">
        <v>14</v>
      </c>
      <c r="C56" s="122">
        <v>3449</v>
      </c>
      <c r="D56" s="123"/>
      <c r="E56" s="124">
        <v>3449000</v>
      </c>
      <c r="F56" s="116">
        <f t="shared" si="15"/>
        <v>3449</v>
      </c>
      <c r="G56" s="116">
        <f t="shared" si="16"/>
        <v>0</v>
      </c>
      <c r="H56" s="114">
        <v>3673</v>
      </c>
      <c r="I56" s="114">
        <v>3673</v>
      </c>
      <c r="J56" s="114">
        <v>3673</v>
      </c>
      <c r="K56" s="131">
        <v>2329</v>
      </c>
      <c r="L56" s="198">
        <v>4087000</v>
      </c>
      <c r="M56" s="198">
        <f t="shared" si="32"/>
        <v>4084671</v>
      </c>
      <c r="N56" s="198">
        <v>2329</v>
      </c>
      <c r="O56" s="198"/>
      <c r="P56" s="198"/>
      <c r="Q56" s="198">
        <v>5387000</v>
      </c>
      <c r="R56" s="25">
        <f t="shared" si="12"/>
        <v>4048000</v>
      </c>
      <c r="S56" s="198">
        <v>5387000</v>
      </c>
      <c r="T56" s="25">
        <f t="shared" si="13"/>
        <v>4048000</v>
      </c>
      <c r="U56" s="198">
        <v>4048000</v>
      </c>
      <c r="V56" s="25">
        <f t="shared" si="14"/>
        <v>4048000</v>
      </c>
      <c r="W56" s="199">
        <v>906</v>
      </c>
      <c r="X56" s="197"/>
      <c r="Y56" s="198">
        <v>4048000</v>
      </c>
      <c r="Z56" s="197"/>
      <c r="AA56" s="198">
        <v>4048000</v>
      </c>
      <c r="AB56" s="197"/>
      <c r="AC56" s="198">
        <v>4048000</v>
      </c>
      <c r="AD56" s="197">
        <f t="shared" si="4"/>
        <v>-1339000</v>
      </c>
      <c r="AE56" s="204"/>
    </row>
    <row r="57" spans="1:31" ht="38.4" customHeight="1" x14ac:dyDescent="0.3">
      <c r="A57" s="171" t="s">
        <v>47</v>
      </c>
      <c r="B57" s="165" t="s">
        <v>15</v>
      </c>
      <c r="C57" s="122">
        <v>5821</v>
      </c>
      <c r="D57" s="123"/>
      <c r="E57" s="124">
        <v>5820994</v>
      </c>
      <c r="F57" s="116">
        <f t="shared" si="15"/>
        <v>5820.9939999999997</v>
      </c>
      <c r="G57" s="116">
        <f t="shared" si="16"/>
        <v>-6.0000000003128662E-3</v>
      </c>
      <c r="H57" s="114">
        <v>3104</v>
      </c>
      <c r="I57" s="114">
        <f>3104+2580</f>
        <v>5684</v>
      </c>
      <c r="J57" s="114">
        <v>3954</v>
      </c>
      <c r="K57" s="131">
        <v>5031</v>
      </c>
      <c r="L57" s="198">
        <v>13812600</v>
      </c>
      <c r="M57" s="198">
        <f t="shared" si="32"/>
        <v>13807569</v>
      </c>
      <c r="N57" s="198">
        <v>4385</v>
      </c>
      <c r="O57" s="198"/>
      <c r="P57" s="198"/>
      <c r="Q57" s="198">
        <v>19253400</v>
      </c>
      <c r="R57" s="25">
        <f t="shared" si="12"/>
        <v>15914522</v>
      </c>
      <c r="S57" s="198">
        <v>19253400</v>
      </c>
      <c r="T57" s="25">
        <f t="shared" si="13"/>
        <v>60930701</v>
      </c>
      <c r="U57" s="198">
        <v>46725000</v>
      </c>
      <c r="V57" s="25">
        <f t="shared" si="14"/>
        <v>62311914</v>
      </c>
      <c r="W57" s="199">
        <v>904</v>
      </c>
      <c r="X57" s="197">
        <v>3710522</v>
      </c>
      <c r="Y57" s="198">
        <v>12204000</v>
      </c>
      <c r="Z57" s="197">
        <v>14205701</v>
      </c>
      <c r="AA57" s="198">
        <v>46725000</v>
      </c>
      <c r="AB57" s="197">
        <v>14882914</v>
      </c>
      <c r="AC57" s="198">
        <v>47429000</v>
      </c>
      <c r="AD57" s="197">
        <f t="shared" si="4"/>
        <v>-3338878</v>
      </c>
      <c r="AE57" s="204"/>
    </row>
    <row r="58" spans="1:31" ht="38.4" customHeight="1" x14ac:dyDescent="0.3">
      <c r="A58" s="202" t="s">
        <v>160</v>
      </c>
      <c r="B58" s="165" t="s">
        <v>161</v>
      </c>
      <c r="C58" s="122"/>
      <c r="D58" s="123"/>
      <c r="E58" s="124"/>
      <c r="F58" s="116"/>
      <c r="G58" s="116"/>
      <c r="H58" s="114"/>
      <c r="I58" s="114"/>
      <c r="J58" s="114"/>
      <c r="K58" s="131"/>
      <c r="L58" s="198">
        <v>0</v>
      </c>
      <c r="M58" s="198"/>
      <c r="N58" s="198"/>
      <c r="O58" s="198"/>
      <c r="P58" s="198"/>
      <c r="Q58" s="198">
        <v>0</v>
      </c>
      <c r="R58" s="25">
        <f t="shared" si="12"/>
        <v>4100</v>
      </c>
      <c r="S58" s="198">
        <v>101000</v>
      </c>
      <c r="T58" s="25">
        <f t="shared" si="13"/>
        <v>4300</v>
      </c>
      <c r="U58" s="198">
        <v>46725001</v>
      </c>
      <c r="V58" s="25">
        <f t="shared" si="14"/>
        <v>3900</v>
      </c>
      <c r="W58" s="199">
        <v>902</v>
      </c>
      <c r="X58" s="197">
        <v>4100</v>
      </c>
      <c r="Y58" s="198"/>
      <c r="Z58" s="197">
        <v>4300</v>
      </c>
      <c r="AA58" s="198"/>
      <c r="AB58" s="197">
        <v>3900</v>
      </c>
      <c r="AC58" s="198"/>
      <c r="AD58" s="197">
        <f t="shared" si="4"/>
        <v>4100</v>
      </c>
      <c r="AE58" s="204"/>
    </row>
    <row r="59" spans="1:31" ht="23.4" customHeight="1" x14ac:dyDescent="0.3">
      <c r="A59" s="171" t="s">
        <v>48</v>
      </c>
      <c r="B59" s="165" t="s">
        <v>16</v>
      </c>
      <c r="C59" s="122">
        <v>145</v>
      </c>
      <c r="D59" s="123"/>
      <c r="E59" s="124">
        <v>145000</v>
      </c>
      <c r="F59" s="116">
        <f t="shared" si="15"/>
        <v>145</v>
      </c>
      <c r="G59" s="116">
        <f t="shared" si="16"/>
        <v>0</v>
      </c>
      <c r="H59" s="114">
        <v>110</v>
      </c>
      <c r="I59" s="114">
        <v>110</v>
      </c>
      <c r="J59" s="114">
        <v>110</v>
      </c>
      <c r="K59" s="131">
        <v>111</v>
      </c>
      <c r="L59" s="198">
        <v>101000</v>
      </c>
      <c r="M59" s="198">
        <f t="shared" si="32"/>
        <v>100889</v>
      </c>
      <c r="N59" s="198">
        <v>111</v>
      </c>
      <c r="O59" s="198"/>
      <c r="P59" s="198"/>
      <c r="Q59" s="198">
        <v>101000</v>
      </c>
      <c r="R59" s="25">
        <f t="shared" si="12"/>
        <v>92000</v>
      </c>
      <c r="S59" s="198">
        <v>0</v>
      </c>
      <c r="T59" s="25">
        <f t="shared" si="13"/>
        <v>92000</v>
      </c>
      <c r="U59" s="198">
        <v>92000</v>
      </c>
      <c r="V59" s="25">
        <f t="shared" si="14"/>
        <v>92000</v>
      </c>
      <c r="W59" s="199">
        <v>907</v>
      </c>
      <c r="X59" s="197"/>
      <c r="Y59" s="198">
        <v>92000</v>
      </c>
      <c r="Z59" s="197"/>
      <c r="AA59" s="198">
        <v>92000</v>
      </c>
      <c r="AB59" s="197"/>
      <c r="AC59" s="198">
        <v>92000</v>
      </c>
      <c r="AD59" s="197">
        <f t="shared" si="4"/>
        <v>-9000</v>
      </c>
      <c r="AE59" s="204"/>
    </row>
    <row r="60" spans="1:31" ht="24.6" hidden="1" x14ac:dyDescent="0.3">
      <c r="A60" s="126" t="s">
        <v>65</v>
      </c>
      <c r="B60" s="127" t="s">
        <v>87</v>
      </c>
      <c r="C60" s="123"/>
      <c r="D60" s="123"/>
      <c r="E60" s="124"/>
      <c r="F60" s="116">
        <f t="shared" si="15"/>
        <v>0</v>
      </c>
      <c r="G60" s="116">
        <f t="shared" si="16"/>
        <v>0</v>
      </c>
      <c r="H60" s="114"/>
      <c r="I60" s="114">
        <v>962</v>
      </c>
      <c r="J60" s="114"/>
      <c r="K60" s="131">
        <v>0</v>
      </c>
      <c r="L60" s="198">
        <f t="shared" si="33"/>
        <v>0</v>
      </c>
      <c r="M60" s="198">
        <f t="shared" si="32"/>
        <v>0</v>
      </c>
      <c r="N60" s="198">
        <v>0</v>
      </c>
      <c r="O60" s="198"/>
      <c r="P60" s="198"/>
      <c r="Q60" s="198"/>
      <c r="R60" s="25">
        <f t="shared" si="12"/>
        <v>0</v>
      </c>
      <c r="S60" s="198">
        <v>37303000</v>
      </c>
      <c r="T60" s="25">
        <f t="shared" si="13"/>
        <v>0</v>
      </c>
      <c r="U60" s="198"/>
      <c r="V60" s="25">
        <f t="shared" si="14"/>
        <v>0</v>
      </c>
      <c r="W60" s="199" t="s">
        <v>61</v>
      </c>
      <c r="X60" s="197"/>
      <c r="Y60" s="198"/>
      <c r="Z60" s="197"/>
      <c r="AA60" s="198"/>
      <c r="AB60" s="197"/>
      <c r="AC60" s="198"/>
      <c r="AD60" s="197">
        <f t="shared" si="4"/>
        <v>0</v>
      </c>
      <c r="AE60" s="204"/>
    </row>
    <row r="61" spans="1:31" ht="24.6" x14ac:dyDescent="0.3">
      <c r="A61" s="120" t="s">
        <v>128</v>
      </c>
      <c r="B61" s="120" t="s">
        <v>127</v>
      </c>
      <c r="C61" s="123"/>
      <c r="D61" s="123"/>
      <c r="E61" s="124"/>
      <c r="F61" s="116"/>
      <c r="G61" s="116"/>
      <c r="H61" s="114"/>
      <c r="I61" s="114"/>
      <c r="J61" s="114"/>
      <c r="K61" s="131"/>
      <c r="L61" s="198">
        <f t="shared" si="33"/>
        <v>38600000</v>
      </c>
      <c r="M61" s="154"/>
      <c r="N61" s="154"/>
      <c r="O61" s="154"/>
      <c r="P61" s="154"/>
      <c r="Q61" s="154">
        <f>Q62</f>
        <v>38600000</v>
      </c>
      <c r="R61" s="25">
        <f t="shared" si="12"/>
        <v>38600000</v>
      </c>
      <c r="S61" s="198">
        <v>37303000</v>
      </c>
      <c r="T61" s="25">
        <f t="shared" si="13"/>
        <v>39000000</v>
      </c>
      <c r="U61" s="198"/>
      <c r="V61" s="25">
        <f t="shared" si="14"/>
        <v>39000000</v>
      </c>
      <c r="W61" s="199"/>
      <c r="X61" s="203">
        <f>X62</f>
        <v>38600000</v>
      </c>
      <c r="Y61" s="198"/>
      <c r="Z61" s="203">
        <f t="shared" ref="Z61:AB61" si="36">Z62</f>
        <v>39000000</v>
      </c>
      <c r="AA61" s="198"/>
      <c r="AB61" s="203">
        <f t="shared" si="36"/>
        <v>39000000</v>
      </c>
      <c r="AC61" s="198"/>
      <c r="AD61" s="197">
        <f t="shared" si="4"/>
        <v>0</v>
      </c>
      <c r="AE61" s="204"/>
    </row>
    <row r="62" spans="1:31" ht="60.6" x14ac:dyDescent="0.3">
      <c r="A62" s="161" t="s">
        <v>114</v>
      </c>
      <c r="B62" s="120" t="s">
        <v>126</v>
      </c>
      <c r="C62" s="123"/>
      <c r="D62" s="123"/>
      <c r="E62" s="124"/>
      <c r="F62" s="116"/>
      <c r="G62" s="116"/>
      <c r="H62" s="114"/>
      <c r="I62" s="114"/>
      <c r="J62" s="114"/>
      <c r="K62" s="131"/>
      <c r="L62" s="198">
        <v>38310000</v>
      </c>
      <c r="M62" s="154"/>
      <c r="N62" s="154"/>
      <c r="O62" s="154"/>
      <c r="P62" s="154"/>
      <c r="Q62" s="198">
        <v>38600000</v>
      </c>
      <c r="R62" s="25">
        <v>38600000</v>
      </c>
      <c r="S62" s="198"/>
      <c r="T62" s="25">
        <f t="shared" si="13"/>
        <v>39000000</v>
      </c>
      <c r="U62" s="198"/>
      <c r="V62" s="25">
        <f t="shared" si="14"/>
        <v>39000000</v>
      </c>
      <c r="W62" s="199">
        <v>906</v>
      </c>
      <c r="X62" s="203">
        <v>38600000</v>
      </c>
      <c r="Y62" s="198"/>
      <c r="Z62" s="203">
        <v>39000000</v>
      </c>
      <c r="AA62" s="198"/>
      <c r="AB62" s="203">
        <v>39000000</v>
      </c>
      <c r="AC62" s="198"/>
      <c r="AD62" s="197">
        <f t="shared" si="4"/>
        <v>0</v>
      </c>
      <c r="AE62" s="204"/>
    </row>
    <row r="63" spans="1:31" ht="36.6" hidden="1" x14ac:dyDescent="0.3">
      <c r="A63" s="43" t="s">
        <v>73</v>
      </c>
      <c r="B63" s="44" t="s">
        <v>72</v>
      </c>
      <c r="C63" s="49"/>
      <c r="D63" s="49"/>
      <c r="E63" s="50"/>
      <c r="F63" s="51">
        <f t="shared" si="15"/>
        <v>0</v>
      </c>
      <c r="G63" s="51">
        <f t="shared" si="16"/>
        <v>0</v>
      </c>
      <c r="H63" s="61"/>
      <c r="I63" s="61"/>
      <c r="J63" s="61"/>
      <c r="K63" s="61">
        <v>1000</v>
      </c>
      <c r="L63" s="154">
        <f t="shared" si="33"/>
        <v>0</v>
      </c>
      <c r="M63" s="67">
        <f t="shared" si="32"/>
        <v>-1000</v>
      </c>
      <c r="N63" s="67">
        <v>0</v>
      </c>
      <c r="O63" s="67"/>
      <c r="P63" s="67"/>
      <c r="Q63" s="67"/>
      <c r="R63" s="67">
        <f t="shared" ref="R63" si="37">Z63+AA63</f>
        <v>0</v>
      </c>
      <c r="S63" s="67"/>
      <c r="T63" s="137">
        <f t="shared" si="13"/>
        <v>0</v>
      </c>
      <c r="U63" s="174"/>
      <c r="V63" s="137">
        <f t="shared" si="14"/>
        <v>0</v>
      </c>
      <c r="W63" s="6" t="s">
        <v>64</v>
      </c>
      <c r="X63" s="108"/>
      <c r="Y63" s="109"/>
      <c r="Z63" s="108"/>
      <c r="AA63" s="109"/>
      <c r="AB63" s="108"/>
      <c r="AC63" s="109"/>
    </row>
    <row r="64" spans="1:31" ht="24" hidden="1" x14ac:dyDescent="0.3">
      <c r="A64" s="190" t="s">
        <v>49</v>
      </c>
      <c r="B64" s="10" t="s">
        <v>18</v>
      </c>
      <c r="C64" s="21">
        <f>180+360</f>
        <v>540</v>
      </c>
      <c r="D64" s="21">
        <v>360</v>
      </c>
      <c r="E64" s="29">
        <f>180000+360000</f>
        <v>540000</v>
      </c>
      <c r="F64" s="6">
        <f t="shared" si="15"/>
        <v>540</v>
      </c>
      <c r="G64" s="6">
        <f t="shared" si="16"/>
        <v>0</v>
      </c>
      <c r="H64" s="60"/>
      <c r="I64" s="60"/>
      <c r="J64" s="60"/>
      <c r="K64" s="60"/>
      <c r="L64" s="65"/>
      <c r="M64" s="65"/>
      <c r="N64" s="65"/>
      <c r="O64" s="155"/>
      <c r="P64" s="155"/>
      <c r="Q64" s="155"/>
      <c r="R64" s="155"/>
      <c r="S64" s="155"/>
      <c r="T64" s="137">
        <f t="shared" si="13"/>
        <v>0</v>
      </c>
      <c r="U64" s="174"/>
      <c r="V64" s="137">
        <f t="shared" si="14"/>
        <v>0</v>
      </c>
      <c r="W64" s="6"/>
      <c r="X64" s="6"/>
      <c r="Y64" s="156"/>
      <c r="Z64" s="6"/>
      <c r="AA64" s="156"/>
      <c r="AB64" s="6"/>
      <c r="AC64" s="156"/>
    </row>
    <row r="65" spans="1:29" ht="16.95" customHeight="1" x14ac:dyDescent="0.3">
      <c r="A65" s="45" t="s">
        <v>55</v>
      </c>
      <c r="B65" s="55" t="s">
        <v>56</v>
      </c>
      <c r="C65" s="33">
        <f>3208.7+534.9</f>
        <v>3743.6</v>
      </c>
      <c r="D65" s="34"/>
      <c r="E65" s="35">
        <f>3208759+534875</f>
        <v>3743634</v>
      </c>
      <c r="F65" s="6">
        <f>E65/1000</f>
        <v>3743.634</v>
      </c>
      <c r="G65" s="6">
        <f>F65-C65</f>
        <v>3.4000000000105501E-2</v>
      </c>
      <c r="H65" s="60"/>
      <c r="I65" s="60"/>
      <c r="J65" s="60"/>
      <c r="K65" s="60"/>
      <c r="L65" s="65">
        <v>124000</v>
      </c>
      <c r="M65" s="65"/>
      <c r="N65" s="65"/>
      <c r="O65" s="155"/>
      <c r="P65" s="155"/>
      <c r="Q65" s="155"/>
      <c r="R65" s="155"/>
      <c r="S65" s="155"/>
      <c r="T65" s="137">
        <f t="shared" si="13"/>
        <v>0</v>
      </c>
      <c r="U65" s="174"/>
      <c r="V65" s="137">
        <f t="shared" si="14"/>
        <v>0</v>
      </c>
      <c r="W65" s="6">
        <v>905</v>
      </c>
      <c r="X65" s="6"/>
      <c r="Y65" s="156"/>
      <c r="Z65" s="6"/>
      <c r="AA65" s="156"/>
      <c r="AB65" s="6"/>
      <c r="AC65" s="156"/>
    </row>
    <row r="66" spans="1:29" x14ac:dyDescent="0.3">
      <c r="C66" s="22">
        <f>C6</f>
        <v>864721.7</v>
      </c>
      <c r="D66" s="22">
        <f>D6</f>
        <v>360</v>
      </c>
      <c r="E66" s="22">
        <f>E6</f>
        <v>864721718.66999996</v>
      </c>
      <c r="F66" s="22">
        <f>F6</f>
        <v>832206.21461999987</v>
      </c>
      <c r="G66" s="22">
        <f>G6</f>
        <v>0.11462000000285499</v>
      </c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6"/>
      <c r="X66" s="6"/>
      <c r="Y66" s="156"/>
      <c r="Z66" s="6"/>
      <c r="AA66" s="156"/>
      <c r="AB66" s="6"/>
      <c r="AC66" s="156"/>
    </row>
    <row r="67" spans="1:29" x14ac:dyDescent="0.3">
      <c r="C67" s="6">
        <f>C6-C66</f>
        <v>0</v>
      </c>
      <c r="D67" s="6">
        <f>D6-D66</f>
        <v>0</v>
      </c>
      <c r="E67" s="6">
        <f>E6-E66</f>
        <v>0</v>
      </c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6"/>
      <c r="X67" s="6"/>
      <c r="Y67" s="156"/>
      <c r="Z67" s="6"/>
      <c r="AA67" s="156"/>
      <c r="AB67" s="6"/>
      <c r="AC67" s="156"/>
    </row>
    <row r="68" spans="1:29" x14ac:dyDescent="0.3">
      <c r="A68" s="3" t="s">
        <v>137</v>
      </c>
      <c r="C68" s="6"/>
      <c r="D68" s="6"/>
      <c r="E68" s="6"/>
      <c r="H68" s="46">
        <v>0</v>
      </c>
      <c r="I68" s="46">
        <v>1</v>
      </c>
      <c r="J68" s="46"/>
      <c r="K68" s="46"/>
      <c r="L68" s="46">
        <f>L7</f>
        <v>53770000</v>
      </c>
      <c r="M68" s="46">
        <f t="shared" ref="M68:AC68" si="38">M7</f>
        <v>53770000</v>
      </c>
      <c r="N68" s="46">
        <f t="shared" si="38"/>
        <v>0</v>
      </c>
      <c r="O68" s="46">
        <f t="shared" si="38"/>
        <v>0</v>
      </c>
      <c r="P68" s="46">
        <f t="shared" si="38"/>
        <v>0</v>
      </c>
      <c r="Q68" s="46"/>
      <c r="R68" s="46">
        <f t="shared" si="38"/>
        <v>18077000</v>
      </c>
      <c r="S68" s="46">
        <f t="shared" si="38"/>
        <v>0</v>
      </c>
      <c r="T68" s="46">
        <f t="shared" si="38"/>
        <v>0</v>
      </c>
      <c r="U68" s="46">
        <f t="shared" si="38"/>
        <v>0</v>
      </c>
      <c r="V68" s="46">
        <f t="shared" si="38"/>
        <v>0</v>
      </c>
      <c r="W68" s="46"/>
      <c r="X68" s="46">
        <f t="shared" si="38"/>
        <v>0</v>
      </c>
      <c r="Y68" s="46">
        <f t="shared" si="38"/>
        <v>18077000</v>
      </c>
      <c r="Z68" s="46">
        <f t="shared" si="38"/>
        <v>0</v>
      </c>
      <c r="AA68" s="46">
        <f t="shared" si="38"/>
        <v>0</v>
      </c>
      <c r="AB68" s="46">
        <f t="shared" si="38"/>
        <v>0</v>
      </c>
      <c r="AC68" s="46">
        <f t="shared" si="38"/>
        <v>0</v>
      </c>
    </row>
    <row r="69" spans="1:29" x14ac:dyDescent="0.3">
      <c r="A69" s="3" t="s">
        <v>61</v>
      </c>
      <c r="C69" s="6"/>
      <c r="D69" s="6"/>
      <c r="E69" s="6"/>
      <c r="H69" s="46">
        <f>H23+H21+H31+H32+H33+H47+H48+H51+H52+H60+H7</f>
        <v>3325</v>
      </c>
      <c r="I69" s="46">
        <f>I23+I21+I31+I32+I33+I47+I48+I51+I52+I60+I7</f>
        <v>13244</v>
      </c>
      <c r="J69" s="46">
        <f>J23+J21+J31+J32+J33+J47+J48+J51+J52+J60+J7</f>
        <v>2221</v>
      </c>
      <c r="K69" s="46">
        <f>K23+K21+K31+K32+K33+K47+K48+K51+K52+K60+K7</f>
        <v>12180</v>
      </c>
      <c r="L69" s="103">
        <f>L23+L21+L31+L32+L33+L47+L48+L51+L52+L60+L50</f>
        <v>4639743.5999999996</v>
      </c>
      <c r="M69" s="103">
        <f>M23+M21+M31+M32+M33+M47+M48+M51+M52+M60+M50</f>
        <v>3353563.6</v>
      </c>
      <c r="N69" s="103">
        <f>N23+N21+N31+N32+N33+N47+N48+N51+N52+N60+N50</f>
        <v>2180</v>
      </c>
      <c r="O69" s="103">
        <f>O23+O21+O31+O32+O33+O47+O48+O51+O52+O60+O50</f>
        <v>0</v>
      </c>
      <c r="P69" s="103">
        <f>P23+P21+P31+P32+P33+P47+P48+P51+P52+P60+P50</f>
        <v>0</v>
      </c>
      <c r="Q69" s="103"/>
      <c r="R69" s="103">
        <f>R21+R31+R32+R33+R34+R35+R36+R47+R48+R50+R51+R52+R58</f>
        <v>17912714.899999999</v>
      </c>
      <c r="S69" s="103">
        <f>S21+S31+S32+S33+S34+S35+S36+S47+S48+S50+S51+S52+S58</f>
        <v>4602921.05</v>
      </c>
      <c r="T69" s="103">
        <f>T21+T31+T32+T33+T34+T35+T36+T47+T48+T50+T51+T52+T58</f>
        <v>16266928.84</v>
      </c>
      <c r="U69" s="103">
        <f>U21+U31+U32+U33+U34+U35+U36+U47+U48+U50+U51+U52+U58</f>
        <v>60949325</v>
      </c>
      <c r="V69" s="103">
        <f>V21+V31+V32+V33+V34+V35+V36+V47+V48+V50+V51+V52+V58</f>
        <v>6599539.54</v>
      </c>
      <c r="W69" s="103"/>
      <c r="X69" s="103">
        <f t="shared" ref="X69:AC69" si="39">X21+X31+X32+X33+X34+X35+X36+X47+X48+X50+X51+X52+X58</f>
        <v>3270416.61</v>
      </c>
      <c r="Y69" s="103">
        <f t="shared" si="39"/>
        <v>14642298.289999999</v>
      </c>
      <c r="Z69" s="103">
        <f t="shared" si="39"/>
        <v>1838758.69</v>
      </c>
      <c r="AA69" s="103">
        <f t="shared" si="39"/>
        <v>14428170.15</v>
      </c>
      <c r="AB69" s="103">
        <f t="shared" si="39"/>
        <v>2138015.89</v>
      </c>
      <c r="AC69" s="103">
        <f t="shared" si="39"/>
        <v>4461523.6500000004</v>
      </c>
    </row>
    <row r="70" spans="1:29" x14ac:dyDescent="0.3">
      <c r="A70" s="3" t="s">
        <v>63</v>
      </c>
      <c r="H70" s="46">
        <f t="shared" ref="H70:P70" si="40">H57</f>
        <v>3104</v>
      </c>
      <c r="I70" s="46">
        <f t="shared" si="40"/>
        <v>5684</v>
      </c>
      <c r="J70" s="46">
        <f t="shared" si="40"/>
        <v>3954</v>
      </c>
      <c r="K70" s="46">
        <f t="shared" si="40"/>
        <v>5031</v>
      </c>
      <c r="L70" s="103">
        <f t="shared" si="40"/>
        <v>13812600</v>
      </c>
      <c r="M70" s="103">
        <f t="shared" si="40"/>
        <v>13807569</v>
      </c>
      <c r="N70" s="103">
        <f t="shared" si="40"/>
        <v>4385</v>
      </c>
      <c r="O70" s="103">
        <f t="shared" si="40"/>
        <v>0</v>
      </c>
      <c r="P70" s="103">
        <f t="shared" si="40"/>
        <v>0</v>
      </c>
      <c r="Q70" s="103"/>
      <c r="R70" s="103">
        <f>R37+R57</f>
        <v>15914522</v>
      </c>
      <c r="S70" s="103">
        <f t="shared" ref="S70:AC70" si="41">S37+S57</f>
        <v>19253400</v>
      </c>
      <c r="T70" s="103">
        <f t="shared" si="41"/>
        <v>60930701</v>
      </c>
      <c r="U70" s="103">
        <f t="shared" si="41"/>
        <v>46725000</v>
      </c>
      <c r="V70" s="103">
        <f t="shared" si="41"/>
        <v>64126632</v>
      </c>
      <c r="W70" s="103"/>
      <c r="X70" s="103">
        <f t="shared" si="41"/>
        <v>3710522</v>
      </c>
      <c r="Y70" s="103">
        <f t="shared" si="41"/>
        <v>12204000</v>
      </c>
      <c r="Z70" s="103">
        <f t="shared" si="41"/>
        <v>14205701</v>
      </c>
      <c r="AA70" s="103">
        <f t="shared" si="41"/>
        <v>46725000</v>
      </c>
      <c r="AB70" s="103">
        <f t="shared" si="41"/>
        <v>14882914</v>
      </c>
      <c r="AC70" s="103">
        <f t="shared" si="41"/>
        <v>49243718</v>
      </c>
    </row>
    <row r="71" spans="1:29" x14ac:dyDescent="0.3">
      <c r="A71" s="3" t="s">
        <v>60</v>
      </c>
      <c r="H71" s="46">
        <f>H15+H27+H28+H30+H44+H45+H46+H55+H56</f>
        <v>601453</v>
      </c>
      <c r="I71" s="46">
        <f>I15+I27+I28+I30+I44+I45+I46+I55+I56</f>
        <v>770705.8</v>
      </c>
      <c r="J71" s="46">
        <f>J15+J27+J28+J30+J44+J45+J46+J55+J56</f>
        <v>688970</v>
      </c>
      <c r="K71" s="46">
        <f>K15+K27+K28+K30+K44+K45+K46+K55+K56</f>
        <v>535811</v>
      </c>
      <c r="L71" s="103">
        <f>L15+L27+L28+L30+L44+L45+L46+L55+L56+L17+L62+L19</f>
        <v>960821054</v>
      </c>
      <c r="M71" s="103">
        <f>M15+M27+M28+M30+M44+M45+M46+M55+M56+M17+M62+M19</f>
        <v>921975243</v>
      </c>
      <c r="N71" s="103">
        <f>N15+N27+N28+N30+N44+N45+N46+N55+N56+N17+N62+N19</f>
        <v>408610</v>
      </c>
      <c r="O71" s="103">
        <f>O15+O27+O28+O30+O44+O45+O46+O55+O56+O17+O62+O19</f>
        <v>0</v>
      </c>
      <c r="P71" s="103">
        <f>P15+P27+P28+P30+P44+P45+P46+P55+P56+P17+P62+P19</f>
        <v>0</v>
      </c>
      <c r="Q71" s="103"/>
      <c r="R71" s="103">
        <f>R15+R17+R19+R27+R28+R30+R44+R45+R46+R55+R56+R62+R18+R14+R13</f>
        <v>1038193303.91</v>
      </c>
      <c r="S71" s="103">
        <f>S15+S17+S19+S27+S28+S30+S44+S45+S46+S55+S56+S62+S18+S14+S13</f>
        <v>869640858</v>
      </c>
      <c r="T71" s="103">
        <f>T15+T17+T19+T27+T28+T30+T44+T45+T46+T55+T56+T62+T18+T14+T13</f>
        <v>1006093083.1800001</v>
      </c>
      <c r="U71" s="103">
        <f>U15+U17+U19+U27+U28+U30+U44+U45+U46+U55+U56+U62+U18+U14+U13</f>
        <v>967407381</v>
      </c>
      <c r="V71" s="103">
        <f>V15+V17+V19+V27+V28+V30+V44+V45+V46+V55+V56+V62+V18+V14+V13</f>
        <v>1128803808.21</v>
      </c>
      <c r="W71" s="103"/>
      <c r="X71" s="103">
        <f t="shared" ref="X71:AC71" si="42">X15+X17+X19+X27+X28+X30+X44+X45+X46+X55+X56+X62+X18+X14+X13</f>
        <v>76688713.689999998</v>
      </c>
      <c r="Y71" s="103">
        <f t="shared" si="42"/>
        <v>961504590.22000003</v>
      </c>
      <c r="Z71" s="103">
        <f t="shared" si="42"/>
        <v>102940741.41</v>
      </c>
      <c r="AA71" s="103">
        <f t="shared" si="42"/>
        <v>903152341.76999998</v>
      </c>
      <c r="AB71" s="103">
        <f t="shared" si="42"/>
        <v>74131605</v>
      </c>
      <c r="AC71" s="103">
        <f t="shared" si="42"/>
        <v>1054672203.21</v>
      </c>
    </row>
    <row r="72" spans="1:29" x14ac:dyDescent="0.3">
      <c r="A72" s="3" t="s">
        <v>64</v>
      </c>
      <c r="H72" s="46">
        <f>H22+H59+H63</f>
        <v>110</v>
      </c>
      <c r="I72" s="46">
        <f>I22+I59+I63</f>
        <v>4134.2</v>
      </c>
      <c r="J72" s="46">
        <f>J22+J59+J63</f>
        <v>110</v>
      </c>
      <c r="K72" s="46">
        <f>K22+K59+K63</f>
        <v>1111</v>
      </c>
      <c r="L72" s="103">
        <f>L22+L59+L38</f>
        <v>8800644.6400000006</v>
      </c>
      <c r="M72" s="103">
        <f>M22+M59+M38</f>
        <v>8800533.6400000006</v>
      </c>
      <c r="N72" s="103">
        <f>N22+N59+N38</f>
        <v>111</v>
      </c>
      <c r="O72" s="103">
        <f>O22+O59+O38</f>
        <v>0</v>
      </c>
      <c r="P72" s="103">
        <f>P22+P59+P38</f>
        <v>0</v>
      </c>
      <c r="Q72" s="103"/>
      <c r="R72" s="103">
        <f>R22+R59+R38</f>
        <v>20626153</v>
      </c>
      <c r="S72" s="103">
        <f>S22+S59+S38</f>
        <v>80995</v>
      </c>
      <c r="T72" s="103">
        <f>T22+T59+T38</f>
        <v>201991</v>
      </c>
      <c r="U72" s="103">
        <f>U22+U59+U38</f>
        <v>136203</v>
      </c>
      <c r="V72" s="103">
        <f>V22+V59+V38</f>
        <v>185599</v>
      </c>
      <c r="W72" s="103"/>
      <c r="X72" s="103">
        <f t="shared" ref="X72:AC72" si="43">X22+X59+X38</f>
        <v>16718335</v>
      </c>
      <c r="Y72" s="103">
        <f t="shared" si="43"/>
        <v>3907818</v>
      </c>
      <c r="Z72" s="103">
        <f t="shared" si="43"/>
        <v>59209</v>
      </c>
      <c r="AA72" s="103">
        <f t="shared" si="43"/>
        <v>142782</v>
      </c>
      <c r="AB72" s="103">
        <f t="shared" si="43"/>
        <v>62063</v>
      </c>
      <c r="AC72" s="103">
        <f t="shared" si="43"/>
        <v>123536</v>
      </c>
    </row>
    <row r="73" spans="1:29" x14ac:dyDescent="0.3">
      <c r="A73" s="3" t="s">
        <v>62</v>
      </c>
      <c r="H73" s="46">
        <f>H11+H24+H16+H53+H54</f>
        <v>1286</v>
      </c>
      <c r="I73" s="46">
        <f>I11+I24+I16+I53+I54</f>
        <v>42332</v>
      </c>
      <c r="J73" s="46">
        <f>J11+J24+J16+J53+J54</f>
        <v>1286</v>
      </c>
      <c r="K73" s="46">
        <f>K11+K24+K16+K53+K54</f>
        <v>2581</v>
      </c>
      <c r="L73" s="103">
        <f>L11+L24+L16+L53+L54+L63+L12+L29+L65+L49</f>
        <v>39224831.43</v>
      </c>
      <c r="M73" s="103">
        <f>M11+M24+M16+M53+M54+M63+M12+M29+M65+M49</f>
        <v>39063250.43</v>
      </c>
      <c r="N73" s="103">
        <f>N11+N24+N16+N53+N54+N63+N12+N29+N65+N49</f>
        <v>2649</v>
      </c>
      <c r="O73" s="103">
        <f>O11+O24+O16+O53+O54+O63+O12+O29+O65+O49</f>
        <v>0</v>
      </c>
      <c r="P73" s="103">
        <f>P11+P24+P16+P53+P54+P63+P12+P29+P65+P49</f>
        <v>0</v>
      </c>
      <c r="Q73" s="103"/>
      <c r="R73" s="103">
        <f>R11+R12+R16+R20+R24+R29+R49+R53+R54+R39</f>
        <v>71377000.409999996</v>
      </c>
      <c r="S73" s="103">
        <f>S11+S12+S16+S20+S24+S29+S49+S53+S54+S39</f>
        <v>51965387.739999995</v>
      </c>
      <c r="T73" s="103">
        <f>T11+T12+T16+T20+T24+T29+T49+T53+T54+T39</f>
        <v>68164415.269999996</v>
      </c>
      <c r="U73" s="103">
        <f>U11+U12+U16+U20+U24+U29+U49+U53+U54+U39</f>
        <v>49692100</v>
      </c>
      <c r="V73" s="103">
        <f>V11+V12+V16+V20+V24+V29+V49+V53+V54+V39</f>
        <v>61318000</v>
      </c>
      <c r="W73" s="103"/>
      <c r="X73" s="103">
        <f t="shared" ref="X73:AC73" si="44">X11+X12+X16+X20+X24+X29+X49+X53+X54+X39</f>
        <v>11932448.67</v>
      </c>
      <c r="Y73" s="103">
        <f t="shared" si="44"/>
        <v>59444551.739999995</v>
      </c>
      <c r="Z73" s="103">
        <f t="shared" si="44"/>
        <v>18287591.640000001</v>
      </c>
      <c r="AA73" s="103">
        <f t="shared" si="44"/>
        <v>49876823.630000003</v>
      </c>
      <c r="AB73" s="103">
        <f t="shared" si="44"/>
        <v>0</v>
      </c>
      <c r="AC73" s="103">
        <f t="shared" si="44"/>
        <v>61318000</v>
      </c>
    </row>
    <row r="74" spans="1:29" x14ac:dyDescent="0.3"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</row>
    <row r="75" spans="1:29" x14ac:dyDescent="0.3">
      <c r="H75" s="53">
        <f t="shared" ref="H75:V75" si="45">SUM(H68:H74)</f>
        <v>609278</v>
      </c>
      <c r="I75" s="53">
        <f t="shared" si="45"/>
        <v>836101</v>
      </c>
      <c r="J75" s="53">
        <f t="shared" si="45"/>
        <v>696541</v>
      </c>
      <c r="K75" s="53">
        <f t="shared" si="45"/>
        <v>556714</v>
      </c>
      <c r="L75" s="104">
        <f>SUM(L68:L74)</f>
        <v>1081068873.6700001</v>
      </c>
      <c r="M75" s="104">
        <f t="shared" si="45"/>
        <v>1040770159.67</v>
      </c>
      <c r="N75" s="104">
        <f t="shared" si="45"/>
        <v>417935</v>
      </c>
      <c r="O75" s="104"/>
      <c r="P75" s="104"/>
      <c r="Q75" s="104"/>
      <c r="R75" s="104">
        <f t="shared" si="45"/>
        <v>1182100694.22</v>
      </c>
      <c r="S75" s="104">
        <f t="shared" si="45"/>
        <v>945543561.78999996</v>
      </c>
      <c r="T75" s="104">
        <f t="shared" si="45"/>
        <v>1151657119.29</v>
      </c>
      <c r="U75" s="104">
        <f t="shared" si="45"/>
        <v>1124910009</v>
      </c>
      <c r="V75" s="104">
        <f t="shared" si="45"/>
        <v>1261033578.75</v>
      </c>
      <c r="W75" s="104"/>
      <c r="X75" s="104">
        <f t="shared" ref="X75:AC75" si="46">SUM(X68:X74)</f>
        <v>112320435.97</v>
      </c>
      <c r="Y75" s="104">
        <f t="shared" si="46"/>
        <v>1069780258.25</v>
      </c>
      <c r="Z75" s="104">
        <f t="shared" si="46"/>
        <v>137332001.74000001</v>
      </c>
      <c r="AA75" s="104">
        <f t="shared" si="46"/>
        <v>1014325117.55</v>
      </c>
      <c r="AB75" s="104">
        <f t="shared" si="46"/>
        <v>91214597.890000001</v>
      </c>
      <c r="AC75" s="104">
        <f t="shared" si="46"/>
        <v>1169818980.8600001</v>
      </c>
    </row>
    <row r="76" spans="1:29" x14ac:dyDescent="0.3"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6"/>
      <c r="X76" s="46">
        <f t="shared" ref="X76:AC76" si="47">X75-X5</f>
        <v>0</v>
      </c>
      <c r="Y76" s="46">
        <f t="shared" si="47"/>
        <v>0</v>
      </c>
      <c r="Z76" s="46">
        <f t="shared" si="47"/>
        <v>0</v>
      </c>
      <c r="AA76" s="46">
        <f t="shared" si="47"/>
        <v>0</v>
      </c>
      <c r="AB76" s="46">
        <f t="shared" si="47"/>
        <v>0</v>
      </c>
      <c r="AC76" s="46">
        <f t="shared" si="47"/>
        <v>0</v>
      </c>
    </row>
    <row r="77" spans="1:29" x14ac:dyDescent="0.3"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6"/>
      <c r="X77" s="46"/>
      <c r="Y77" s="103"/>
      <c r="Z77" s="46"/>
      <c r="AA77" s="103"/>
      <c r="AB77" s="46"/>
      <c r="AC77" s="103"/>
    </row>
    <row r="78" spans="1:29" x14ac:dyDescent="0.3">
      <c r="A78" s="3">
        <v>0</v>
      </c>
      <c r="H78" s="46">
        <f t="shared" ref="H78:N78" si="48">H75-H5</f>
        <v>0</v>
      </c>
      <c r="I78" s="46">
        <f t="shared" si="48"/>
        <v>1</v>
      </c>
      <c r="J78" s="46">
        <f t="shared" si="48"/>
        <v>0</v>
      </c>
      <c r="K78" s="46">
        <f t="shared" si="48"/>
        <v>11000</v>
      </c>
      <c r="L78" s="46">
        <f t="shared" si="48"/>
        <v>-290000</v>
      </c>
      <c r="M78" s="46">
        <f t="shared" si="48"/>
        <v>0</v>
      </c>
      <c r="N78" s="46">
        <f t="shared" si="48"/>
        <v>0</v>
      </c>
      <c r="O78" s="46"/>
      <c r="P78" s="46"/>
      <c r="Q78" s="46"/>
      <c r="R78" s="46">
        <f>R75-R5</f>
        <v>0</v>
      </c>
      <c r="S78" s="46">
        <f>S75-S5</f>
        <v>-37302999</v>
      </c>
      <c r="T78" s="46">
        <f>T75-T5</f>
        <v>0</v>
      </c>
      <c r="U78" s="46">
        <f>U75-U5</f>
        <v>46725001</v>
      </c>
      <c r="V78" s="46">
        <f>V75-V5</f>
        <v>0</v>
      </c>
      <c r="W78" s="46"/>
      <c r="X78" s="46">
        <f t="shared" ref="X78:AC78" si="49">X75-X5</f>
        <v>0</v>
      </c>
      <c r="Y78" s="46">
        <f t="shared" si="49"/>
        <v>0</v>
      </c>
      <c r="Z78" s="46">
        <f t="shared" si="49"/>
        <v>0</v>
      </c>
      <c r="AA78" s="46">
        <f t="shared" si="49"/>
        <v>0</v>
      </c>
      <c r="AB78" s="46">
        <f t="shared" si="49"/>
        <v>0</v>
      </c>
      <c r="AC78" s="46">
        <f t="shared" si="49"/>
        <v>0</v>
      </c>
    </row>
    <row r="79" spans="1:29" x14ac:dyDescent="0.3"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156"/>
      <c r="Z79" s="6"/>
      <c r="AA79" s="156"/>
      <c r="AB79" s="6"/>
      <c r="AC79" s="156"/>
    </row>
    <row r="80" spans="1:29" x14ac:dyDescent="0.3"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156"/>
      <c r="Z80" s="6"/>
      <c r="AA80" s="156"/>
      <c r="AB80" s="6"/>
      <c r="AC80" s="156"/>
    </row>
    <row r="81" spans="12:29" x14ac:dyDescent="0.3"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156"/>
      <c r="Z81" s="6"/>
      <c r="AA81" s="156"/>
      <c r="AB81" s="6"/>
      <c r="AC81" s="156"/>
    </row>
    <row r="82" spans="12:29" x14ac:dyDescent="0.3"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156"/>
      <c r="Z82" s="6"/>
      <c r="AA82" s="156"/>
      <c r="AB82" s="6"/>
      <c r="AC82" s="156"/>
    </row>
    <row r="83" spans="12:29" x14ac:dyDescent="0.3"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156"/>
      <c r="Z83" s="6"/>
      <c r="AA83" s="156"/>
      <c r="AB83" s="6"/>
      <c r="AC83" s="156"/>
    </row>
    <row r="84" spans="12:29" x14ac:dyDescent="0.3"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156"/>
      <c r="Z84" s="6"/>
      <c r="AA84" s="156"/>
      <c r="AB84" s="6"/>
      <c r="AC84" s="156"/>
    </row>
    <row r="85" spans="12:29" x14ac:dyDescent="0.3"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156"/>
      <c r="Z85" s="6"/>
      <c r="AA85" s="156"/>
      <c r="AB85" s="6"/>
      <c r="AC85" s="156"/>
    </row>
    <row r="86" spans="12:29" x14ac:dyDescent="0.3"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156"/>
      <c r="Z86" s="6"/>
      <c r="AA86" s="156"/>
      <c r="AB86" s="6"/>
      <c r="AC86" s="156"/>
    </row>
  </sheetData>
  <mergeCells count="4">
    <mergeCell ref="A1:T1"/>
    <mergeCell ref="A2:T2"/>
    <mergeCell ref="A3:T3"/>
    <mergeCell ref="AE34:AE35"/>
  </mergeCells>
  <pageMargins left="0" right="0" top="0" bottom="0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L109"/>
  <sheetViews>
    <sheetView tabSelected="1" zoomScaleNormal="100" workbookViewId="0">
      <pane xSplit="7" ySplit="4" topLeftCell="P71" activePane="bottomRight" state="frozen"/>
      <selection pane="topRight" activeCell="H1" sqref="H1"/>
      <selection pane="bottomLeft" activeCell="A5" sqref="A5"/>
      <selection pane="bottomRight" activeCell="W75" sqref="W75"/>
    </sheetView>
  </sheetViews>
  <sheetFormatPr defaultColWidth="8.88671875" defaultRowHeight="14.4" x14ac:dyDescent="0.3"/>
  <cols>
    <col min="1" max="1" width="19.6640625" style="192" customWidth="1"/>
    <col min="2" max="2" width="56.44140625" style="192" customWidth="1"/>
    <col min="3" max="3" width="17.88671875" style="192" hidden="1" customWidth="1"/>
    <col min="4" max="4" width="16.109375" style="192" hidden="1" customWidth="1"/>
    <col min="5" max="5" width="18.5546875" style="192" hidden="1" customWidth="1"/>
    <col min="6" max="6" width="11.6640625" style="192" hidden="1" customWidth="1"/>
    <col min="7" max="7" width="11" style="192" hidden="1" customWidth="1"/>
    <col min="8" max="10" width="14.33203125" style="192" hidden="1" customWidth="1"/>
    <col min="11" max="11" width="13.6640625" style="192" hidden="1" customWidth="1"/>
    <col min="12" max="15" width="14.88671875" style="192" hidden="1" customWidth="1"/>
    <col min="16" max="16" width="0.109375" style="192" customWidth="1"/>
    <col min="17" max="18" width="14.88671875" style="192" hidden="1" customWidth="1"/>
    <col min="19" max="19" width="15.109375" style="192" hidden="1" customWidth="1"/>
    <col min="20" max="20" width="15.109375" style="249" customWidth="1"/>
    <col min="21" max="21" width="13.5546875" style="249" hidden="1" customWidth="1"/>
    <col min="22" max="22" width="15.109375" style="249" customWidth="1"/>
    <col min="23" max="23" width="15.44140625" style="249" customWidth="1"/>
    <col min="24" max="24" width="7.33203125" style="192" customWidth="1"/>
    <col min="25" max="25" width="14.44140625" style="192" hidden="1" customWidth="1"/>
    <col min="26" max="26" width="15.6640625" style="192" hidden="1" customWidth="1"/>
    <col min="27" max="27" width="13.33203125" style="192" hidden="1" customWidth="1"/>
    <col min="28" max="28" width="13.33203125" style="249" customWidth="1"/>
    <col min="29" max="29" width="14.6640625" style="249" hidden="1" customWidth="1"/>
    <col min="30" max="30" width="14.6640625" style="249" customWidth="1"/>
    <col min="31" max="31" width="13.6640625" style="249" hidden="1" customWidth="1"/>
    <col min="32" max="32" width="12.33203125" style="249" customWidth="1"/>
    <col min="33" max="33" width="15.33203125" style="249" hidden="1" customWidth="1"/>
    <col min="34" max="34" width="16" style="249" customWidth="1"/>
    <col min="35" max="35" width="13.5546875" style="192" customWidth="1"/>
    <col min="36" max="36" width="15.6640625" style="249" customWidth="1"/>
    <col min="37" max="37" width="8.88671875" style="192"/>
    <col min="38" max="38" width="9" style="192" bestFit="1" customWidth="1"/>
    <col min="39" max="16384" width="8.88671875" style="192"/>
  </cols>
  <sheetData>
    <row r="1" spans="1:36" ht="12" customHeight="1" x14ac:dyDescent="0.3">
      <c r="A1" s="281" t="s">
        <v>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</row>
    <row r="2" spans="1:36" ht="12" customHeight="1" x14ac:dyDescent="0.3">
      <c r="A2" s="281" t="s">
        <v>1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</row>
    <row r="3" spans="1:36" ht="12" customHeight="1" x14ac:dyDescent="0.3">
      <c r="A3" s="282" t="s">
        <v>228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05" t="s">
        <v>135</v>
      </c>
    </row>
    <row r="4" spans="1:36" ht="51" customHeight="1" x14ac:dyDescent="0.35">
      <c r="A4" s="119" t="s">
        <v>74</v>
      </c>
      <c r="B4" s="119" t="s">
        <v>2</v>
      </c>
      <c r="C4" s="119" t="s">
        <v>34</v>
      </c>
      <c r="D4" s="119" t="s">
        <v>17</v>
      </c>
      <c r="E4" s="119" t="s">
        <v>35</v>
      </c>
      <c r="H4" s="126">
        <v>2020</v>
      </c>
      <c r="I4" s="206">
        <v>2020</v>
      </c>
      <c r="J4" s="126">
        <v>2021</v>
      </c>
      <c r="K4" s="126">
        <v>2021</v>
      </c>
      <c r="L4" s="193">
        <v>2022</v>
      </c>
      <c r="M4" s="193" t="s">
        <v>117</v>
      </c>
      <c r="N4" s="193">
        <v>2022</v>
      </c>
      <c r="O4" s="193"/>
      <c r="P4" s="193"/>
      <c r="Q4" s="248">
        <v>2023</v>
      </c>
      <c r="R4" s="194" t="s">
        <v>201</v>
      </c>
      <c r="S4" s="247">
        <v>2024</v>
      </c>
      <c r="T4" s="283" t="s">
        <v>226</v>
      </c>
      <c r="U4" s="284">
        <v>2025</v>
      </c>
      <c r="V4" s="283" t="s">
        <v>225</v>
      </c>
      <c r="W4" s="283" t="s">
        <v>227</v>
      </c>
      <c r="X4" s="205"/>
      <c r="Y4" s="195" t="s">
        <v>121</v>
      </c>
      <c r="Z4" s="196" t="s">
        <v>122</v>
      </c>
      <c r="AA4" s="195" t="s">
        <v>129</v>
      </c>
      <c r="AB4" s="258" t="s">
        <v>204</v>
      </c>
      <c r="AC4" s="250" t="s">
        <v>130</v>
      </c>
      <c r="AD4" s="250" t="s">
        <v>205</v>
      </c>
      <c r="AE4" s="258" t="s">
        <v>159</v>
      </c>
      <c r="AF4" s="258" t="s">
        <v>206</v>
      </c>
      <c r="AG4" s="250" t="s">
        <v>158</v>
      </c>
      <c r="AH4" s="250" t="s">
        <v>208</v>
      </c>
      <c r="AI4" s="196" t="s">
        <v>207</v>
      </c>
      <c r="AJ4" s="250" t="s">
        <v>214</v>
      </c>
    </row>
    <row r="5" spans="1:36" x14ac:dyDescent="0.3">
      <c r="A5" s="171" t="s">
        <v>57</v>
      </c>
      <c r="B5" s="113" t="s">
        <v>58</v>
      </c>
      <c r="C5" s="16">
        <f t="shared" ref="C5:K5" si="0">C6-C76</f>
        <v>860978.1</v>
      </c>
      <c r="D5" s="16">
        <f t="shared" si="0"/>
        <v>360</v>
      </c>
      <c r="E5" s="16">
        <f t="shared" si="0"/>
        <v>860978084.66999996</v>
      </c>
      <c r="F5" s="16">
        <f t="shared" si="0"/>
        <v>828462.58061999991</v>
      </c>
      <c r="G5" s="16">
        <f t="shared" si="0"/>
        <v>8.0620000002749492E-2</v>
      </c>
      <c r="H5" s="16">
        <f t="shared" si="0"/>
        <v>609278</v>
      </c>
      <c r="I5" s="16">
        <f t="shared" si="0"/>
        <v>836100</v>
      </c>
      <c r="J5" s="16">
        <f t="shared" si="0"/>
        <v>696541</v>
      </c>
      <c r="K5" s="130">
        <f t="shared" si="0"/>
        <v>545714</v>
      </c>
      <c r="L5" s="25">
        <f>L6+L76</f>
        <v>1187276261.7199998</v>
      </c>
      <c r="M5" s="25">
        <f>M6-M76</f>
        <v>1139318850.9099998</v>
      </c>
      <c r="N5" s="25">
        <f>N6-N76</f>
        <v>417935</v>
      </c>
      <c r="O5" s="25"/>
      <c r="P5" s="25"/>
      <c r="Q5" s="25">
        <f t="shared" ref="Q5:W5" si="1">Q6+Q74</f>
        <v>1231683201.6599998</v>
      </c>
      <c r="R5" s="25">
        <f t="shared" si="1"/>
        <v>982846561.78999996</v>
      </c>
      <c r="S5" s="25">
        <f t="shared" si="1"/>
        <v>1151657119.29</v>
      </c>
      <c r="T5" s="27">
        <f t="shared" si="1"/>
        <v>1304242740.99</v>
      </c>
      <c r="U5" s="27">
        <f t="shared" si="1"/>
        <v>1261033578.75</v>
      </c>
      <c r="V5" s="27">
        <f t="shared" si="1"/>
        <v>1142472717.51</v>
      </c>
      <c r="W5" s="27">
        <f t="shared" si="1"/>
        <v>1791392668.05</v>
      </c>
      <c r="X5" s="25"/>
      <c r="Y5" s="25">
        <f t="shared" ref="Y5:AJ5" si="2">Y6+Y74</f>
        <v>113174505.81</v>
      </c>
      <c r="Z5" s="25">
        <f t="shared" si="2"/>
        <v>1087173320.1000001</v>
      </c>
      <c r="AA5" s="25">
        <f t="shared" si="2"/>
        <v>137332001.74000001</v>
      </c>
      <c r="AB5" s="27">
        <f t="shared" si="2"/>
        <v>150481155.58999997</v>
      </c>
      <c r="AC5" s="27">
        <f t="shared" si="2"/>
        <v>1014325117.55</v>
      </c>
      <c r="AD5" s="27">
        <f t="shared" si="2"/>
        <v>1153761585.4000001</v>
      </c>
      <c r="AE5" s="27">
        <f t="shared" si="2"/>
        <v>91214597.890000001</v>
      </c>
      <c r="AF5" s="27">
        <f t="shared" si="2"/>
        <v>81482039.090000004</v>
      </c>
      <c r="AG5" s="27">
        <f t="shared" si="2"/>
        <v>1169818980.8599999</v>
      </c>
      <c r="AH5" s="27">
        <f>AH6+AH74</f>
        <v>1060990678.42</v>
      </c>
      <c r="AI5" s="25">
        <f t="shared" si="2"/>
        <v>610158387.54999995</v>
      </c>
      <c r="AJ5" s="27">
        <f t="shared" si="2"/>
        <v>1181234280.5</v>
      </c>
    </row>
    <row r="6" spans="1:36" ht="24" x14ac:dyDescent="0.3">
      <c r="A6" s="171" t="s">
        <v>22</v>
      </c>
      <c r="B6" s="165" t="s">
        <v>23</v>
      </c>
      <c r="C6" s="16">
        <f>C13+C51+C73+C7+C76</f>
        <v>864721.7</v>
      </c>
      <c r="D6" s="16">
        <f>D13+D51+D73+D7+D76</f>
        <v>360</v>
      </c>
      <c r="E6" s="16">
        <f>E13+E51+E73+E7+E76</f>
        <v>864721718.66999996</v>
      </c>
      <c r="F6" s="16">
        <f>F13+F51+F73+F7+F76</f>
        <v>832206.21461999987</v>
      </c>
      <c r="G6" s="16">
        <f>G13+G51+G73+G7+G76</f>
        <v>0.11462000000285499</v>
      </c>
      <c r="H6" s="16">
        <f>H13+H51+H73+H7+H76+H72</f>
        <v>609278</v>
      </c>
      <c r="I6" s="16">
        <f>I13+I51+I73+I7+I76+I72</f>
        <v>836100</v>
      </c>
      <c r="J6" s="16">
        <f>J13+J51+J73+J7+J76+J72</f>
        <v>696541</v>
      </c>
      <c r="K6" s="130">
        <f>K51</f>
        <v>545714</v>
      </c>
      <c r="L6" s="25">
        <f>L13+L51+L73+L7+L72+L70</f>
        <v>1187152261.7199998</v>
      </c>
      <c r="M6" s="25">
        <f>M13+M51+M73+M7+M76+M72+M70</f>
        <v>1139318850.9099998</v>
      </c>
      <c r="N6" s="25">
        <f>N13+N51+N73+N7+N76+N72+N70</f>
        <v>417935</v>
      </c>
      <c r="O6" s="25"/>
      <c r="P6" s="25"/>
      <c r="Q6" s="25">
        <f t="shared" ref="Q6:W6" si="3">Q7+Q13+Q51+Q70</f>
        <v>1200347825.9099998</v>
      </c>
      <c r="R6" s="25">
        <f t="shared" si="3"/>
        <v>982846561.78999996</v>
      </c>
      <c r="S6" s="25">
        <f t="shared" si="3"/>
        <v>1151657119.29</v>
      </c>
      <c r="T6" s="27">
        <f t="shared" si="3"/>
        <v>1304242740.99</v>
      </c>
      <c r="U6" s="27">
        <f t="shared" si="3"/>
        <v>1261033578.75</v>
      </c>
      <c r="V6" s="27">
        <f t="shared" si="3"/>
        <v>1142472717.51</v>
      </c>
      <c r="W6" s="27">
        <f t="shared" si="3"/>
        <v>1791392668.05</v>
      </c>
      <c r="X6" s="25"/>
      <c r="Y6" s="25">
        <f t="shared" ref="Y6:AJ6" si="4">Y7+Y13+Y51+Y70</f>
        <v>113174505.81</v>
      </c>
      <c r="Z6" s="25">
        <f t="shared" si="4"/>
        <v>1087173320.1000001</v>
      </c>
      <c r="AA6" s="25">
        <f t="shared" si="4"/>
        <v>137332001.74000001</v>
      </c>
      <c r="AB6" s="27">
        <f t="shared" si="4"/>
        <v>150481155.58999997</v>
      </c>
      <c r="AC6" s="27">
        <f t="shared" si="4"/>
        <v>1014325117.55</v>
      </c>
      <c r="AD6" s="27">
        <f t="shared" si="4"/>
        <v>1153761585.4000001</v>
      </c>
      <c r="AE6" s="27">
        <f t="shared" si="4"/>
        <v>91214597.890000001</v>
      </c>
      <c r="AF6" s="27">
        <f t="shared" si="4"/>
        <v>81482039.090000004</v>
      </c>
      <c r="AG6" s="27">
        <f t="shared" si="4"/>
        <v>1169818980.8599999</v>
      </c>
      <c r="AH6" s="27">
        <f>AH7+AH13+AH51+AH70</f>
        <v>1060990678.42</v>
      </c>
      <c r="AI6" s="25">
        <f t="shared" si="4"/>
        <v>610158387.54999995</v>
      </c>
      <c r="AJ6" s="27">
        <f t="shared" si="4"/>
        <v>1181234280.5</v>
      </c>
    </row>
    <row r="7" spans="1:36" x14ac:dyDescent="0.3">
      <c r="A7" s="222" t="s">
        <v>36</v>
      </c>
      <c r="B7" s="223" t="s">
        <v>26</v>
      </c>
      <c r="C7" s="15">
        <f>C11</f>
        <v>34649</v>
      </c>
      <c r="D7" s="15">
        <f>D11</f>
        <v>0</v>
      </c>
      <c r="E7" s="15">
        <f>E11</f>
        <v>34649000</v>
      </c>
      <c r="F7" s="15">
        <f>F11</f>
        <v>34649</v>
      </c>
      <c r="G7" s="15">
        <f>G11</f>
        <v>0</v>
      </c>
      <c r="H7" s="15">
        <f>H11+H10</f>
        <v>1186</v>
      </c>
      <c r="I7" s="15">
        <f>I11+I10</f>
        <v>1823</v>
      </c>
      <c r="J7" s="15">
        <f>J11+J10</f>
        <v>0</v>
      </c>
      <c r="K7" s="224">
        <f>K11+K10</f>
        <v>0</v>
      </c>
      <c r="L7" s="225">
        <f t="shared" ref="L7:L10" si="5">Y7+Z7</f>
        <v>28719000</v>
      </c>
      <c r="M7" s="24">
        <f>M10+M11</f>
        <v>21255000</v>
      </c>
      <c r="N7" s="24">
        <f>N10+N11</f>
        <v>0</v>
      </c>
      <c r="O7" s="24"/>
      <c r="P7" s="24"/>
      <c r="Q7" s="24">
        <f>SUM(Q9:Q12)</f>
        <v>28719000</v>
      </c>
      <c r="R7" s="24">
        <f>SUM(R9:R11)</f>
        <v>0</v>
      </c>
      <c r="S7" s="24">
        <f>SUM(S9:S11)</f>
        <v>0</v>
      </c>
      <c r="T7" s="26">
        <f>SUM(T9:T11)</f>
        <v>62307000</v>
      </c>
      <c r="U7" s="26">
        <f>SUM(U9:U11)</f>
        <v>0</v>
      </c>
      <c r="V7" s="26">
        <f>SUM(V8:V11)</f>
        <v>4387000</v>
      </c>
      <c r="W7" s="26">
        <f>SUM(W9:W11)</f>
        <v>0</v>
      </c>
      <c r="X7" s="24"/>
      <c r="Y7" s="24">
        <f>SUM(Y9:Y11)</f>
        <v>0</v>
      </c>
      <c r="Z7" s="24">
        <f>SUM(Z9:Z12)</f>
        <v>28719000</v>
      </c>
      <c r="AA7" s="24">
        <f>SUM(AA9:AA11)</f>
        <v>0</v>
      </c>
      <c r="AB7" s="26">
        <f>SUM(AB9:AB11)</f>
        <v>0</v>
      </c>
      <c r="AC7" s="26">
        <f>SUM(AC9:AC11)</f>
        <v>0</v>
      </c>
      <c r="AD7" s="26">
        <f>SUM(AD8:AD11)</f>
        <v>62307000</v>
      </c>
      <c r="AE7" s="26">
        <f t="shared" ref="AE7:AH7" si="6">SUM(AE8:AE11)</f>
        <v>0</v>
      </c>
      <c r="AF7" s="26">
        <f t="shared" si="6"/>
        <v>0</v>
      </c>
      <c r="AG7" s="26">
        <f t="shared" si="6"/>
        <v>0</v>
      </c>
      <c r="AH7" s="26">
        <f t="shared" si="6"/>
        <v>4387000</v>
      </c>
      <c r="AI7" s="26">
        <f>SUM(AI8:AI11)</f>
        <v>0</v>
      </c>
      <c r="AJ7" s="26">
        <f t="shared" ref="AJ7" si="7">SUM(AJ8:AJ11)</f>
        <v>0</v>
      </c>
    </row>
    <row r="8" spans="1:36" ht="39.6" x14ac:dyDescent="0.3">
      <c r="A8" s="115" t="s">
        <v>209</v>
      </c>
      <c r="B8" s="165" t="s">
        <v>210</v>
      </c>
      <c r="C8" s="15"/>
      <c r="D8" s="15"/>
      <c r="E8" s="15"/>
      <c r="F8" s="58"/>
      <c r="G8" s="58"/>
      <c r="H8" s="15"/>
      <c r="I8" s="15"/>
      <c r="J8" s="15"/>
      <c r="K8" s="224"/>
      <c r="L8" s="225"/>
      <c r="M8" s="24"/>
      <c r="N8" s="24"/>
      <c r="O8" s="24"/>
      <c r="P8" s="24"/>
      <c r="Q8" s="24"/>
      <c r="R8" s="24"/>
      <c r="S8" s="24"/>
      <c r="T8" s="27">
        <f>AB8+AD8</f>
        <v>0</v>
      </c>
      <c r="U8" s="26"/>
      <c r="V8" s="27">
        <f>AF8+AH8</f>
        <v>4387000</v>
      </c>
      <c r="W8" s="27">
        <f>AI8+AJ8</f>
        <v>0</v>
      </c>
      <c r="X8" s="257">
        <v>903</v>
      </c>
      <c r="Y8" s="24"/>
      <c r="Z8" s="24"/>
      <c r="AA8" s="24"/>
      <c r="AB8" s="26"/>
      <c r="AC8" s="26"/>
      <c r="AD8" s="26"/>
      <c r="AE8" s="26"/>
      <c r="AF8" s="27"/>
      <c r="AG8" s="26"/>
      <c r="AH8" s="260">
        <v>4387000</v>
      </c>
      <c r="AI8" s="24"/>
      <c r="AJ8" s="26"/>
    </row>
    <row r="9" spans="1:36" ht="24.6" x14ac:dyDescent="0.3">
      <c r="A9" s="171" t="s">
        <v>211</v>
      </c>
      <c r="B9" s="121" t="s">
        <v>212</v>
      </c>
      <c r="C9" s="16"/>
      <c r="D9" s="16"/>
      <c r="E9" s="16"/>
      <c r="F9" s="125"/>
      <c r="G9" s="125"/>
      <c r="H9" s="16"/>
      <c r="I9" s="16"/>
      <c r="J9" s="16"/>
      <c r="K9" s="130"/>
      <c r="L9" s="198"/>
      <c r="M9" s="25"/>
      <c r="N9" s="25"/>
      <c r="O9" s="25"/>
      <c r="P9" s="25"/>
      <c r="Q9" s="25">
        <f>Y9+Z9</f>
        <v>912000</v>
      </c>
      <c r="R9" s="25"/>
      <c r="S9" s="25"/>
      <c r="T9" s="27">
        <f>AB9+AD9</f>
        <v>0</v>
      </c>
      <c r="U9" s="27"/>
      <c r="V9" s="27">
        <f>AF9+AH9</f>
        <v>0</v>
      </c>
      <c r="W9" s="27">
        <f>AI9+AJ9</f>
        <v>0</v>
      </c>
      <c r="X9" s="208">
        <v>905</v>
      </c>
      <c r="Y9" s="24"/>
      <c r="Z9" s="25">
        <v>912000</v>
      </c>
      <c r="AA9" s="24"/>
      <c r="AB9" s="26"/>
      <c r="AC9" s="27"/>
      <c r="AD9" s="27"/>
      <c r="AE9" s="26"/>
      <c r="AF9" s="26"/>
      <c r="AG9" s="27"/>
      <c r="AH9" s="27"/>
      <c r="AI9" s="25"/>
      <c r="AJ9" s="27"/>
    </row>
    <row r="10" spans="1:36" ht="24" x14ac:dyDescent="0.3">
      <c r="A10" s="171" t="s">
        <v>211</v>
      </c>
      <c r="B10" s="165" t="s">
        <v>212</v>
      </c>
      <c r="C10" s="16"/>
      <c r="D10" s="16"/>
      <c r="E10" s="16"/>
      <c r="F10" s="125"/>
      <c r="G10" s="125"/>
      <c r="H10" s="114">
        <v>1186</v>
      </c>
      <c r="I10" s="114">
        <v>1186</v>
      </c>
      <c r="J10" s="16"/>
      <c r="K10" s="130">
        <v>0</v>
      </c>
      <c r="L10" s="198">
        <f t="shared" si="5"/>
        <v>3178000</v>
      </c>
      <c r="M10" s="198">
        <f t="shared" ref="M10:M11" si="8">L10-K10</f>
        <v>3178000</v>
      </c>
      <c r="N10" s="25">
        <v>0</v>
      </c>
      <c r="O10" s="25"/>
      <c r="P10" s="25"/>
      <c r="Q10" s="25">
        <f t="shared" ref="Q10:Q73" si="9">Y10+Z10</f>
        <v>3178000</v>
      </c>
      <c r="R10" s="25">
        <v>0</v>
      </c>
      <c r="S10" s="25">
        <f t="shared" ref="S10:S76" si="10">AA10+AC10</f>
        <v>0</v>
      </c>
      <c r="T10" s="27">
        <f t="shared" ref="T10:T12" si="11">AB10+AD10</f>
        <v>62307000</v>
      </c>
      <c r="U10" s="27">
        <f t="shared" ref="U10:U76" si="12">AE10+AG10</f>
        <v>0</v>
      </c>
      <c r="V10" s="27">
        <f t="shared" ref="V10:V12" si="13">AF10+AH10</f>
        <v>0</v>
      </c>
      <c r="W10" s="27">
        <f t="shared" ref="W10:W12" si="14">AI10+AJ10</f>
        <v>0</v>
      </c>
      <c r="X10" s="208">
        <v>903</v>
      </c>
      <c r="Y10" s="197"/>
      <c r="Z10" s="25">
        <f>1033000+2145000</f>
        <v>3178000</v>
      </c>
      <c r="AA10" s="197"/>
      <c r="AB10" s="26"/>
      <c r="AC10" s="27"/>
      <c r="AD10" s="261">
        <v>62307000</v>
      </c>
      <c r="AE10" s="253"/>
      <c r="AF10" s="26"/>
      <c r="AG10" s="27"/>
      <c r="AH10" s="27"/>
      <c r="AI10" s="25"/>
      <c r="AJ10" s="27"/>
    </row>
    <row r="11" spans="1:36" ht="16.95" customHeight="1" x14ac:dyDescent="0.3">
      <c r="A11" s="115" t="s">
        <v>148</v>
      </c>
      <c r="B11" s="30" t="s">
        <v>149</v>
      </c>
      <c r="C11" s="16">
        <f>9649+25000</f>
        <v>34649</v>
      </c>
      <c r="D11" s="16"/>
      <c r="E11" s="25">
        <f>9649000+25000000</f>
        <v>34649000</v>
      </c>
      <c r="F11" s="116">
        <f t="shared" ref="F11:F73" si="15">E11/1000</f>
        <v>34649</v>
      </c>
      <c r="G11" s="116">
        <f t="shared" ref="G11:G73" si="16">F11-C11</f>
        <v>0</v>
      </c>
      <c r="H11" s="114"/>
      <c r="I11" s="114">
        <v>637</v>
      </c>
      <c r="J11" s="114">
        <v>0</v>
      </c>
      <c r="K11" s="131">
        <v>0</v>
      </c>
      <c r="L11" s="198">
        <f>Y11+Z11</f>
        <v>18077000</v>
      </c>
      <c r="M11" s="198">
        <f t="shared" si="8"/>
        <v>18077000</v>
      </c>
      <c r="N11" s="198">
        <v>0</v>
      </c>
      <c r="O11" s="198"/>
      <c r="P11" s="198"/>
      <c r="Q11" s="25">
        <f>Y11+Z11</f>
        <v>18077000</v>
      </c>
      <c r="R11" s="198">
        <v>0</v>
      </c>
      <c r="S11" s="25">
        <f t="shared" si="10"/>
        <v>0</v>
      </c>
      <c r="T11" s="27">
        <f t="shared" si="11"/>
        <v>0</v>
      </c>
      <c r="U11" s="27">
        <f t="shared" si="12"/>
        <v>0</v>
      </c>
      <c r="V11" s="27">
        <f t="shared" si="13"/>
        <v>0</v>
      </c>
      <c r="W11" s="27">
        <f t="shared" si="14"/>
        <v>0</v>
      </c>
      <c r="X11" s="208">
        <v>903</v>
      </c>
      <c r="Y11" s="197"/>
      <c r="Z11" s="214">
        <v>18077000</v>
      </c>
      <c r="AA11" s="197"/>
      <c r="AB11" s="26"/>
      <c r="AC11" s="251"/>
      <c r="AD11" s="251"/>
      <c r="AE11" s="253"/>
      <c r="AF11" s="26"/>
      <c r="AG11" s="251"/>
      <c r="AH11" s="251"/>
      <c r="AI11" s="198"/>
      <c r="AJ11" s="251"/>
    </row>
    <row r="12" spans="1:36" ht="16.95" customHeight="1" x14ac:dyDescent="0.3">
      <c r="A12" s="115" t="s">
        <v>148</v>
      </c>
      <c r="B12" s="30" t="s">
        <v>149</v>
      </c>
      <c r="C12" s="16"/>
      <c r="D12" s="16"/>
      <c r="E12" s="25"/>
      <c r="F12" s="116"/>
      <c r="G12" s="116"/>
      <c r="H12" s="114"/>
      <c r="I12" s="114"/>
      <c r="J12" s="114"/>
      <c r="K12" s="131"/>
      <c r="L12" s="198"/>
      <c r="M12" s="198"/>
      <c r="N12" s="198"/>
      <c r="O12" s="198"/>
      <c r="P12" s="198"/>
      <c r="Q12" s="25">
        <f>Y12+Z12</f>
        <v>6552000</v>
      </c>
      <c r="R12" s="198"/>
      <c r="S12" s="25"/>
      <c r="T12" s="27">
        <f t="shared" si="11"/>
        <v>0</v>
      </c>
      <c r="U12" s="27"/>
      <c r="V12" s="27">
        <f t="shared" si="13"/>
        <v>0</v>
      </c>
      <c r="W12" s="27">
        <f t="shared" si="14"/>
        <v>0</v>
      </c>
      <c r="X12" s="208">
        <v>907</v>
      </c>
      <c r="Y12" s="197"/>
      <c r="Z12" s="214">
        <v>6552000</v>
      </c>
      <c r="AA12" s="197"/>
      <c r="AB12" s="26"/>
      <c r="AC12" s="251"/>
      <c r="AD12" s="251"/>
      <c r="AE12" s="253"/>
      <c r="AF12" s="26"/>
      <c r="AG12" s="251"/>
      <c r="AH12" s="251"/>
      <c r="AI12" s="198"/>
      <c r="AJ12" s="251"/>
    </row>
    <row r="13" spans="1:36" ht="15.6" customHeight="1" x14ac:dyDescent="0.3">
      <c r="A13" s="222" t="s">
        <v>37</v>
      </c>
      <c r="B13" s="223" t="s">
        <v>25</v>
      </c>
      <c r="C13" s="15">
        <f t="shared" ref="C13:J13" si="17">SUM(C14:C31)</f>
        <v>99365.099999999991</v>
      </c>
      <c r="D13" s="15">
        <f t="shared" si="17"/>
        <v>0</v>
      </c>
      <c r="E13" s="15">
        <f t="shared" si="17"/>
        <v>99365090.670000002</v>
      </c>
      <c r="F13" s="15">
        <f t="shared" si="17"/>
        <v>66849.586620000002</v>
      </c>
      <c r="G13" s="15">
        <f t="shared" si="17"/>
        <v>8.6620000003062358E-2</v>
      </c>
      <c r="H13" s="15">
        <f t="shared" si="17"/>
        <v>0</v>
      </c>
      <c r="I13" s="15">
        <f>SUM(I14:I31)</f>
        <v>59336</v>
      </c>
      <c r="J13" s="15">
        <f t="shared" si="17"/>
        <v>0</v>
      </c>
      <c r="K13" s="224">
        <v>0</v>
      </c>
      <c r="L13" s="24">
        <f>SUM(L14:L31)</f>
        <v>148264346.09999999</v>
      </c>
      <c r="M13" s="24">
        <f>SUM(M14:M31)</f>
        <v>148254346.09999999</v>
      </c>
      <c r="N13" s="24">
        <f>SUM(N14:N31)</f>
        <v>2</v>
      </c>
      <c r="O13" s="24"/>
      <c r="P13" s="24"/>
      <c r="Q13" s="24">
        <f>SUM(Q14:Q31)</f>
        <v>160804507.09999999</v>
      </c>
      <c r="R13" s="24">
        <f t="shared" ref="R13:AG13" si="18">SUM(R14:R31)</f>
        <v>91677161.789999992</v>
      </c>
      <c r="S13" s="24">
        <f t="shared" si="18"/>
        <v>148159118.28999999</v>
      </c>
      <c r="T13" s="26">
        <f t="shared" si="18"/>
        <v>193949640.98999998</v>
      </c>
      <c r="U13" s="26">
        <f t="shared" si="18"/>
        <v>102657764.75000001</v>
      </c>
      <c r="V13" s="26">
        <f t="shared" si="18"/>
        <v>103467717.50999999</v>
      </c>
      <c r="W13" s="26">
        <f>SUM(W14:W31)</f>
        <v>741691168.04999995</v>
      </c>
      <c r="X13" s="24"/>
      <c r="Y13" s="24">
        <f t="shared" si="18"/>
        <v>70005813.969999999</v>
      </c>
      <c r="Z13" s="24">
        <f t="shared" si="18"/>
        <v>90798693.129999995</v>
      </c>
      <c r="AA13" s="24">
        <f t="shared" si="18"/>
        <v>84122000.739999995</v>
      </c>
      <c r="AB13" s="26">
        <f t="shared" ref="AB13" si="19">SUM(AB14:AB31)</f>
        <v>108232155.58999999</v>
      </c>
      <c r="AC13" s="26">
        <f t="shared" si="18"/>
        <v>64037117.550000004</v>
      </c>
      <c r="AD13" s="26">
        <f t="shared" ref="AD13" si="20">SUM(AD14:AD31)</f>
        <v>85717485.400000006</v>
      </c>
      <c r="AE13" s="26">
        <f t="shared" si="18"/>
        <v>37327783.890000001</v>
      </c>
      <c r="AF13" s="26">
        <f t="shared" ref="AF13" si="21">SUM(AF14:AF31)</f>
        <v>38165739.090000004</v>
      </c>
      <c r="AG13" s="26">
        <f t="shared" si="18"/>
        <v>65329980.859999999</v>
      </c>
      <c r="AH13" s="26">
        <f t="shared" ref="AH13" si="22">SUM(AH14:AH31)</f>
        <v>65301978.420000002</v>
      </c>
      <c r="AI13" s="24">
        <f>SUM(AI14:AI31)</f>
        <v>567206187.54999995</v>
      </c>
      <c r="AJ13" s="26">
        <f>SUM(AJ14:AJ31)</f>
        <v>174484980.5</v>
      </c>
    </row>
    <row r="14" spans="1:36" ht="37.200000000000003" customHeight="1" x14ac:dyDescent="0.3">
      <c r="A14" s="115" t="s">
        <v>66</v>
      </c>
      <c r="B14" s="30" t="s">
        <v>154</v>
      </c>
      <c r="C14" s="16">
        <v>29411</v>
      </c>
      <c r="D14" s="16"/>
      <c r="E14" s="25">
        <v>29411000</v>
      </c>
      <c r="F14" s="116">
        <f t="shared" si="15"/>
        <v>29411</v>
      </c>
      <c r="G14" s="116">
        <f t="shared" si="16"/>
        <v>0</v>
      </c>
      <c r="H14" s="114"/>
      <c r="I14" s="114">
        <v>23860</v>
      </c>
      <c r="J14" s="114"/>
      <c r="K14" s="131">
        <v>0</v>
      </c>
      <c r="L14" s="198">
        <f t="shared" ref="L14:L30" si="23">Y14+Z14</f>
        <v>40500000</v>
      </c>
      <c r="M14" s="198">
        <f t="shared" ref="M14:M50" si="24">L14-K14</f>
        <v>40500000</v>
      </c>
      <c r="N14" s="198">
        <v>0</v>
      </c>
      <c r="O14" s="198"/>
      <c r="P14" s="198"/>
      <c r="Q14" s="25">
        <f t="shared" si="9"/>
        <v>40500000</v>
      </c>
      <c r="R14" s="198">
        <v>30000000</v>
      </c>
      <c r="S14" s="25">
        <f t="shared" si="10"/>
        <v>30000000</v>
      </c>
      <c r="T14" s="27">
        <f t="shared" ref="T14:T30" si="25">AB14+AD14</f>
        <v>50000000</v>
      </c>
      <c r="U14" s="27">
        <f t="shared" si="12"/>
        <v>30000000</v>
      </c>
      <c r="V14" s="27">
        <f t="shared" ref="V14:V30" si="26">AF14+AH14</f>
        <v>23000000</v>
      </c>
      <c r="W14" s="27">
        <f t="shared" ref="W14:W30" si="27">AI14+AJ14</f>
        <v>24000000</v>
      </c>
      <c r="X14" s="208">
        <v>905</v>
      </c>
      <c r="Y14" s="197"/>
      <c r="Z14" s="198">
        <f>30000000+4500000+6000000</f>
        <v>40500000</v>
      </c>
      <c r="AA14" s="197"/>
      <c r="AB14" s="253"/>
      <c r="AC14" s="251">
        <v>30000000</v>
      </c>
      <c r="AD14" s="262">
        <v>50000000</v>
      </c>
      <c r="AE14" s="253"/>
      <c r="AF14" s="253"/>
      <c r="AG14" s="251">
        <v>30000000</v>
      </c>
      <c r="AH14" s="262">
        <v>23000000</v>
      </c>
      <c r="AI14" s="263"/>
      <c r="AJ14" s="262">
        <v>24000000</v>
      </c>
    </row>
    <row r="15" spans="1:36" ht="36" customHeight="1" x14ac:dyDescent="0.3">
      <c r="A15" s="115" t="s">
        <v>118</v>
      </c>
      <c r="B15" s="30" t="s">
        <v>119</v>
      </c>
      <c r="C15" s="16"/>
      <c r="D15" s="16"/>
      <c r="E15" s="25"/>
      <c r="F15" s="116"/>
      <c r="G15" s="116"/>
      <c r="H15" s="114"/>
      <c r="I15" s="114">
        <v>0</v>
      </c>
      <c r="J15" s="114"/>
      <c r="K15" s="131">
        <v>0</v>
      </c>
      <c r="L15" s="198">
        <f t="shared" si="23"/>
        <v>11250000</v>
      </c>
      <c r="M15" s="198">
        <f t="shared" si="24"/>
        <v>11250000</v>
      </c>
      <c r="N15" s="198">
        <v>0</v>
      </c>
      <c r="O15" s="198"/>
      <c r="P15" s="198"/>
      <c r="Q15" s="25">
        <f t="shared" si="9"/>
        <v>11250000</v>
      </c>
      <c r="R15" s="198">
        <v>1471000</v>
      </c>
      <c r="S15" s="25">
        <f t="shared" si="10"/>
        <v>0</v>
      </c>
      <c r="T15" s="27">
        <f t="shared" si="25"/>
        <v>0</v>
      </c>
      <c r="U15" s="27">
        <f t="shared" si="12"/>
        <v>0</v>
      </c>
      <c r="V15" s="27">
        <f t="shared" si="26"/>
        <v>0</v>
      </c>
      <c r="W15" s="27">
        <f t="shared" si="27"/>
        <v>0</v>
      </c>
      <c r="X15" s="208">
        <v>905</v>
      </c>
      <c r="Y15" s="197"/>
      <c r="Z15" s="198">
        <v>11250000</v>
      </c>
      <c r="AA15" s="197"/>
      <c r="AB15" s="253"/>
      <c r="AC15" s="251"/>
      <c r="AD15" s="251"/>
      <c r="AE15" s="253"/>
      <c r="AF15" s="253"/>
      <c r="AG15" s="251"/>
      <c r="AH15" s="251"/>
      <c r="AI15" s="198"/>
      <c r="AJ15" s="251"/>
    </row>
    <row r="16" spans="1:36" ht="54" customHeight="1" x14ac:dyDescent="0.3">
      <c r="A16" s="115" t="s">
        <v>174</v>
      </c>
      <c r="B16" s="117" t="s">
        <v>175</v>
      </c>
      <c r="C16" s="16">
        <v>30453.9</v>
      </c>
      <c r="D16" s="16"/>
      <c r="E16" s="25">
        <v>30453878.91</v>
      </c>
      <c r="F16" s="116"/>
      <c r="G16" s="116"/>
      <c r="H16" s="114"/>
      <c r="I16" s="114"/>
      <c r="J16" s="114"/>
      <c r="K16" s="131"/>
      <c r="L16" s="198">
        <f t="shared" si="23"/>
        <v>562510.79999999993</v>
      </c>
      <c r="M16" s="198">
        <f t="shared" si="24"/>
        <v>562510.79999999993</v>
      </c>
      <c r="N16" s="198">
        <v>0</v>
      </c>
      <c r="O16" s="198"/>
      <c r="P16" s="198"/>
      <c r="Q16" s="25">
        <f t="shared" si="9"/>
        <v>562510.79999999993</v>
      </c>
      <c r="R16" s="198">
        <v>0</v>
      </c>
      <c r="S16" s="25">
        <f t="shared" si="10"/>
        <v>0</v>
      </c>
      <c r="T16" s="27">
        <f t="shared" si="25"/>
        <v>0</v>
      </c>
      <c r="U16" s="27">
        <f t="shared" si="12"/>
        <v>0</v>
      </c>
      <c r="V16" s="27">
        <f t="shared" si="26"/>
        <v>0</v>
      </c>
      <c r="W16" s="27">
        <f t="shared" si="27"/>
        <v>0</v>
      </c>
      <c r="X16" s="208">
        <v>906</v>
      </c>
      <c r="Y16" s="197">
        <v>556885.68999999994</v>
      </c>
      <c r="Z16" s="198">
        <v>5625.11</v>
      </c>
      <c r="AA16" s="197"/>
      <c r="AB16" s="253"/>
      <c r="AC16" s="251"/>
      <c r="AD16" s="251"/>
      <c r="AE16" s="253"/>
      <c r="AF16" s="253"/>
      <c r="AG16" s="251"/>
      <c r="AH16" s="251"/>
      <c r="AI16" s="198"/>
      <c r="AJ16" s="251"/>
    </row>
    <row r="17" spans="1:38" ht="54.75" customHeight="1" x14ac:dyDescent="0.3">
      <c r="A17" s="115" t="s">
        <v>164</v>
      </c>
      <c r="B17" s="200" t="s">
        <v>216</v>
      </c>
      <c r="C17" s="16">
        <v>212.2</v>
      </c>
      <c r="D17" s="16"/>
      <c r="E17" s="25">
        <v>212168.14</v>
      </c>
      <c r="F17" s="116"/>
      <c r="G17" s="116"/>
      <c r="H17" s="114"/>
      <c r="I17" s="114"/>
      <c r="J17" s="114"/>
      <c r="K17" s="131"/>
      <c r="L17" s="198">
        <f t="shared" si="23"/>
        <v>0</v>
      </c>
      <c r="M17" s="198">
        <f t="shared" si="24"/>
        <v>0</v>
      </c>
      <c r="N17" s="198">
        <v>0</v>
      </c>
      <c r="O17" s="198"/>
      <c r="P17" s="198"/>
      <c r="Q17" s="25">
        <f t="shared" si="9"/>
        <v>0</v>
      </c>
      <c r="R17" s="198">
        <v>0</v>
      </c>
      <c r="S17" s="25">
        <f t="shared" si="10"/>
        <v>6786727.2599999998</v>
      </c>
      <c r="T17" s="27">
        <f t="shared" si="25"/>
        <v>9156464.6699999999</v>
      </c>
      <c r="U17" s="27">
        <f t="shared" si="12"/>
        <v>0</v>
      </c>
      <c r="V17" s="27">
        <f t="shared" si="26"/>
        <v>0</v>
      </c>
      <c r="W17" s="27">
        <f t="shared" si="27"/>
        <v>0</v>
      </c>
      <c r="X17" s="208">
        <v>906</v>
      </c>
      <c r="Y17" s="197"/>
      <c r="Z17" s="198"/>
      <c r="AA17" s="197">
        <v>6718860</v>
      </c>
      <c r="AB17" s="264">
        <v>9064900.0199999996</v>
      </c>
      <c r="AC17" s="262">
        <v>67867.259999999995</v>
      </c>
      <c r="AD17" s="262">
        <v>91564.65</v>
      </c>
      <c r="AE17" s="253"/>
      <c r="AF17" s="253"/>
      <c r="AG17" s="251"/>
      <c r="AH17" s="251"/>
      <c r="AI17" s="198"/>
      <c r="AJ17" s="251"/>
    </row>
    <row r="18" spans="1:38" ht="25.95" customHeight="1" x14ac:dyDescent="0.3">
      <c r="A18" s="115" t="s">
        <v>68</v>
      </c>
      <c r="B18" s="118" t="s">
        <v>69</v>
      </c>
      <c r="C18" s="25"/>
      <c r="D18" s="25"/>
      <c r="E18" s="25"/>
      <c r="F18" s="116"/>
      <c r="G18" s="116"/>
      <c r="H18" s="114"/>
      <c r="I18" s="114">
        <v>0</v>
      </c>
      <c r="J18" s="114"/>
      <c r="K18" s="131">
        <v>0</v>
      </c>
      <c r="L18" s="198">
        <f t="shared" si="23"/>
        <v>0</v>
      </c>
      <c r="M18" s="198">
        <f t="shared" si="24"/>
        <v>0</v>
      </c>
      <c r="N18" s="198">
        <v>0</v>
      </c>
      <c r="O18" s="198"/>
      <c r="P18" s="198"/>
      <c r="Q18" s="25">
        <f t="shared" si="9"/>
        <v>0</v>
      </c>
      <c r="R18" s="198">
        <v>0</v>
      </c>
      <c r="S18" s="25">
        <f t="shared" si="10"/>
        <v>0</v>
      </c>
      <c r="T18" s="27">
        <f t="shared" si="25"/>
        <v>0</v>
      </c>
      <c r="U18" s="27">
        <f t="shared" si="12"/>
        <v>0</v>
      </c>
      <c r="V18" s="27">
        <f t="shared" si="26"/>
        <v>0</v>
      </c>
      <c r="W18" s="27">
        <f t="shared" si="27"/>
        <v>0</v>
      </c>
      <c r="X18" s="208">
        <v>906</v>
      </c>
      <c r="Y18" s="197"/>
      <c r="Z18" s="198"/>
      <c r="AA18" s="197"/>
      <c r="AB18" s="253"/>
      <c r="AC18" s="251"/>
      <c r="AD18" s="251"/>
      <c r="AE18" s="253"/>
      <c r="AF18" s="253"/>
      <c r="AG18" s="251"/>
      <c r="AH18" s="251"/>
      <c r="AI18" s="198"/>
      <c r="AJ18" s="251"/>
    </row>
    <row r="19" spans="1:38" ht="26.25" customHeight="1" x14ac:dyDescent="0.3">
      <c r="A19" s="115" t="s">
        <v>195</v>
      </c>
      <c r="B19" s="165" t="s">
        <v>169</v>
      </c>
      <c r="C19" s="16"/>
      <c r="D19" s="16"/>
      <c r="E19" s="25"/>
      <c r="F19" s="116"/>
      <c r="G19" s="116"/>
      <c r="H19" s="114"/>
      <c r="I19" s="114">
        <v>0</v>
      </c>
      <c r="J19" s="114"/>
      <c r="K19" s="131">
        <v>0</v>
      </c>
      <c r="L19" s="198">
        <f>Y19+Z19</f>
        <v>403600</v>
      </c>
      <c r="M19" s="198">
        <f t="shared" si="24"/>
        <v>403600</v>
      </c>
      <c r="N19" s="198">
        <v>0</v>
      </c>
      <c r="O19" s="198"/>
      <c r="P19" s="198"/>
      <c r="Q19" s="25">
        <f t="shared" si="9"/>
        <v>403600</v>
      </c>
      <c r="R19" s="198">
        <v>437200</v>
      </c>
      <c r="S19" s="25">
        <f t="shared" si="10"/>
        <v>0</v>
      </c>
      <c r="T19" s="27">
        <f t="shared" si="25"/>
        <v>0</v>
      </c>
      <c r="U19" s="27">
        <f t="shared" si="12"/>
        <v>0</v>
      </c>
      <c r="V19" s="27">
        <f t="shared" si="26"/>
        <v>0</v>
      </c>
      <c r="W19" s="27">
        <f t="shared" si="27"/>
        <v>563337100</v>
      </c>
      <c r="X19" s="208">
        <v>905</v>
      </c>
      <c r="Y19" s="197">
        <v>399542.52</v>
      </c>
      <c r="Z19" s="198">
        <v>4057.48</v>
      </c>
      <c r="AA19" s="197"/>
      <c r="AB19" s="253"/>
      <c r="AC19" s="251"/>
      <c r="AD19" s="251"/>
      <c r="AE19" s="253"/>
      <c r="AF19" s="253"/>
      <c r="AG19" s="251"/>
      <c r="AH19" s="251"/>
      <c r="AI19" s="73">
        <f>533166000-AI20</f>
        <v>484163600</v>
      </c>
      <c r="AJ19" s="73">
        <f>79668500-AJ20</f>
        <v>79173500</v>
      </c>
    </row>
    <row r="20" spans="1:38" ht="26.25" customHeight="1" x14ac:dyDescent="0.3">
      <c r="A20" s="183" t="s">
        <v>195</v>
      </c>
      <c r="B20" s="42" t="s">
        <v>169</v>
      </c>
      <c r="C20" s="56"/>
      <c r="D20" s="56"/>
      <c r="E20" s="57"/>
      <c r="F20" s="51"/>
      <c r="G20" s="51"/>
      <c r="H20" s="61"/>
      <c r="I20" s="61"/>
      <c r="J20" s="61"/>
      <c r="K20" s="184"/>
      <c r="L20" s="66"/>
      <c r="M20" s="66"/>
      <c r="N20" s="66"/>
      <c r="O20" s="66"/>
      <c r="P20" s="66"/>
      <c r="Q20" s="57"/>
      <c r="R20" s="66"/>
      <c r="S20" s="57"/>
      <c r="T20" s="27">
        <f t="shared" si="25"/>
        <v>0</v>
      </c>
      <c r="U20" s="27"/>
      <c r="V20" s="27">
        <f t="shared" ref="V20" si="28">AF20+AH20</f>
        <v>0</v>
      </c>
      <c r="W20" s="27">
        <f t="shared" ref="W20" si="29">AI20+AJ20</f>
        <v>49497400</v>
      </c>
      <c r="X20" s="176">
        <v>907</v>
      </c>
      <c r="Y20" s="270"/>
      <c r="Z20" s="66"/>
      <c r="AA20" s="270"/>
      <c r="AB20" s="270"/>
      <c r="AC20" s="66"/>
      <c r="AD20" s="66"/>
      <c r="AE20" s="270"/>
      <c r="AF20" s="270"/>
      <c r="AG20" s="66"/>
      <c r="AH20" s="66"/>
      <c r="AI20" s="73">
        <f>AL20-AJ20</f>
        <v>49002400</v>
      </c>
      <c r="AJ20" s="73">
        <v>495000</v>
      </c>
      <c r="AL20" s="192">
        <f>24736000+24761400</f>
        <v>49497400</v>
      </c>
    </row>
    <row r="21" spans="1:38" ht="40.200000000000003" customHeight="1" x14ac:dyDescent="0.3">
      <c r="A21" s="115" t="s">
        <v>132</v>
      </c>
      <c r="B21" s="165" t="s">
        <v>133</v>
      </c>
      <c r="C21" s="16"/>
      <c r="D21" s="16"/>
      <c r="E21" s="25"/>
      <c r="F21" s="116"/>
      <c r="G21" s="116"/>
      <c r="H21" s="114"/>
      <c r="I21" s="114"/>
      <c r="J21" s="114"/>
      <c r="K21" s="131"/>
      <c r="L21" s="198">
        <f t="shared" ref="L21" si="30">Y21+Z21</f>
        <v>0</v>
      </c>
      <c r="M21" s="198">
        <f t="shared" si="24"/>
        <v>0</v>
      </c>
      <c r="N21" s="198">
        <v>1</v>
      </c>
      <c r="O21" s="198"/>
      <c r="P21" s="198"/>
      <c r="Q21" s="25">
        <f t="shared" si="9"/>
        <v>0</v>
      </c>
      <c r="R21" s="198">
        <v>0</v>
      </c>
      <c r="S21" s="25">
        <f t="shared" si="10"/>
        <v>0</v>
      </c>
      <c r="T21" s="27">
        <f t="shared" si="25"/>
        <v>0</v>
      </c>
      <c r="U21" s="27">
        <f t="shared" si="12"/>
        <v>0</v>
      </c>
      <c r="V21" s="27">
        <f t="shared" si="26"/>
        <v>0</v>
      </c>
      <c r="W21" s="27">
        <f t="shared" si="27"/>
        <v>0</v>
      </c>
      <c r="X21" s="208">
        <v>906</v>
      </c>
      <c r="Y21" s="197"/>
      <c r="Z21" s="198"/>
      <c r="AA21" s="197"/>
      <c r="AB21" s="253"/>
      <c r="AC21" s="251"/>
      <c r="AD21" s="251"/>
      <c r="AE21" s="253"/>
      <c r="AF21" s="253"/>
      <c r="AG21" s="251"/>
      <c r="AH21" s="251"/>
      <c r="AI21" s="198"/>
      <c r="AJ21" s="251"/>
    </row>
    <row r="22" spans="1:38" ht="50.25" customHeight="1" x14ac:dyDescent="0.3">
      <c r="A22" s="115" t="s">
        <v>190</v>
      </c>
      <c r="B22" s="165" t="s">
        <v>215</v>
      </c>
      <c r="C22" s="16"/>
      <c r="D22" s="16"/>
      <c r="E22" s="25"/>
      <c r="F22" s="116"/>
      <c r="G22" s="116"/>
      <c r="H22" s="114"/>
      <c r="I22" s="114"/>
      <c r="J22" s="114"/>
      <c r="K22" s="131"/>
      <c r="L22" s="198"/>
      <c r="M22" s="198"/>
      <c r="N22" s="198"/>
      <c r="O22" s="198"/>
      <c r="P22" s="198"/>
      <c r="Q22" s="25">
        <f t="shared" si="9"/>
        <v>0</v>
      </c>
      <c r="R22" s="198">
        <v>1</v>
      </c>
      <c r="S22" s="25">
        <f t="shared" si="10"/>
        <v>19888932.699999999</v>
      </c>
      <c r="T22" s="27">
        <f t="shared" si="25"/>
        <v>43051327.639999993</v>
      </c>
      <c r="U22" s="27">
        <f t="shared" si="12"/>
        <v>0</v>
      </c>
      <c r="V22" s="27">
        <f t="shared" si="26"/>
        <v>0</v>
      </c>
      <c r="W22" s="27">
        <f t="shared" si="27"/>
        <v>0</v>
      </c>
      <c r="X22" s="208">
        <v>906</v>
      </c>
      <c r="Y22" s="197"/>
      <c r="Z22" s="198"/>
      <c r="AA22" s="197">
        <v>19690043.41</v>
      </c>
      <c r="AB22" s="264">
        <f>21659047.74+20961766.67</f>
        <v>42620814.409999996</v>
      </c>
      <c r="AC22" s="262">
        <v>198889.29</v>
      </c>
      <c r="AD22" s="262">
        <f>218778.21+211735.02</f>
        <v>430513.23</v>
      </c>
      <c r="AE22" s="253"/>
      <c r="AF22" s="253"/>
      <c r="AG22" s="251"/>
      <c r="AH22" s="251"/>
      <c r="AI22" s="198"/>
      <c r="AJ22" s="251"/>
    </row>
    <row r="23" spans="1:38" ht="50.25" customHeight="1" x14ac:dyDescent="0.3">
      <c r="A23" s="115" t="s">
        <v>217</v>
      </c>
      <c r="B23" s="165" t="s">
        <v>218</v>
      </c>
      <c r="C23" s="16"/>
      <c r="D23" s="16"/>
      <c r="E23" s="25"/>
      <c r="F23" s="116"/>
      <c r="G23" s="116"/>
      <c r="H23" s="114"/>
      <c r="I23" s="114"/>
      <c r="J23" s="114"/>
      <c r="K23" s="131"/>
      <c r="L23" s="198"/>
      <c r="M23" s="198"/>
      <c r="N23" s="198"/>
      <c r="O23" s="198"/>
      <c r="P23" s="198"/>
      <c r="Q23" s="25"/>
      <c r="R23" s="198"/>
      <c r="S23" s="25"/>
      <c r="T23" s="27">
        <f t="shared" si="25"/>
        <v>3479845.71</v>
      </c>
      <c r="U23" s="27"/>
      <c r="V23" s="27">
        <f t="shared" ref="V23" si="31">AF23+AH23</f>
        <v>0</v>
      </c>
      <c r="W23" s="27">
        <f t="shared" ref="W23" si="32">AI23+AJ23</f>
        <v>0</v>
      </c>
      <c r="X23" s="257">
        <v>906</v>
      </c>
      <c r="Y23" s="197"/>
      <c r="Z23" s="198"/>
      <c r="AA23" s="197"/>
      <c r="AB23" s="264">
        <v>3445047.25</v>
      </c>
      <c r="AC23" s="262"/>
      <c r="AD23" s="262">
        <v>34798.46</v>
      </c>
      <c r="AE23" s="253"/>
      <c r="AF23" s="253"/>
      <c r="AG23" s="251"/>
      <c r="AH23" s="251"/>
      <c r="AI23" s="198"/>
      <c r="AJ23" s="251"/>
    </row>
    <row r="24" spans="1:38" ht="35.4" customHeight="1" x14ac:dyDescent="0.3">
      <c r="A24" s="115" t="s">
        <v>112</v>
      </c>
      <c r="B24" s="165" t="s">
        <v>113</v>
      </c>
      <c r="C24" s="16"/>
      <c r="D24" s="16"/>
      <c r="E24" s="25"/>
      <c r="F24" s="116"/>
      <c r="G24" s="116"/>
      <c r="H24" s="114"/>
      <c r="I24" s="114"/>
      <c r="J24" s="114"/>
      <c r="K24" s="131">
        <v>0</v>
      </c>
      <c r="L24" s="198">
        <f t="shared" si="23"/>
        <v>41702031.109999999</v>
      </c>
      <c r="M24" s="198">
        <f t="shared" si="24"/>
        <v>41702031.109999999</v>
      </c>
      <c r="N24" s="198">
        <v>1</v>
      </c>
      <c r="O24" s="198"/>
      <c r="P24" s="198"/>
      <c r="Q24" s="25">
        <f t="shared" si="9"/>
        <v>41702031.109999999</v>
      </c>
      <c r="R24" s="198">
        <v>36323037</v>
      </c>
      <c r="S24" s="25">
        <f t="shared" si="10"/>
        <v>41702042.219999999</v>
      </c>
      <c r="T24" s="27">
        <f t="shared" si="25"/>
        <v>42346000</v>
      </c>
      <c r="U24" s="27">
        <f t="shared" si="12"/>
        <v>38186527.210000001</v>
      </c>
      <c r="V24" s="27">
        <f t="shared" si="26"/>
        <v>38915000</v>
      </c>
      <c r="W24" s="27">
        <f t="shared" si="27"/>
        <v>37469000</v>
      </c>
      <c r="X24" s="208">
        <v>906</v>
      </c>
      <c r="Y24" s="197">
        <v>37531828</v>
      </c>
      <c r="Z24" s="198">
        <v>4170203.11</v>
      </c>
      <c r="AA24" s="197">
        <v>37531838</v>
      </c>
      <c r="AB24" s="264">
        <v>38111000</v>
      </c>
      <c r="AC24" s="262">
        <v>4170204.22</v>
      </c>
      <c r="AD24" s="262">
        <v>4235000</v>
      </c>
      <c r="AE24" s="264">
        <v>35131605</v>
      </c>
      <c r="AF24" s="264">
        <v>35802000</v>
      </c>
      <c r="AG24" s="262">
        <v>3054922.21</v>
      </c>
      <c r="AH24" s="262">
        <v>3113000</v>
      </c>
      <c r="AI24" s="263">
        <v>32598000</v>
      </c>
      <c r="AJ24" s="262">
        <v>4871000</v>
      </c>
    </row>
    <row r="25" spans="1:38" ht="30" customHeight="1" x14ac:dyDescent="0.3">
      <c r="A25" s="115" t="s">
        <v>150</v>
      </c>
      <c r="B25" s="165" t="s">
        <v>151</v>
      </c>
      <c r="C25" s="16"/>
      <c r="D25" s="16"/>
      <c r="E25" s="25"/>
      <c r="F25" s="116"/>
      <c r="G25" s="116"/>
      <c r="H25" s="114"/>
      <c r="I25" s="114"/>
      <c r="J25" s="114"/>
      <c r="K25" s="131"/>
      <c r="L25" s="198"/>
      <c r="M25" s="198"/>
      <c r="N25" s="198"/>
      <c r="O25" s="198"/>
      <c r="P25" s="198"/>
      <c r="Q25" s="25">
        <f t="shared" si="9"/>
        <v>0</v>
      </c>
      <c r="R25" s="198"/>
      <c r="S25" s="25">
        <f t="shared" si="10"/>
        <v>0</v>
      </c>
      <c r="T25" s="27">
        <f t="shared" si="25"/>
        <v>0</v>
      </c>
      <c r="U25" s="27">
        <f t="shared" si="12"/>
        <v>0</v>
      </c>
      <c r="V25" s="27">
        <f t="shared" si="26"/>
        <v>0</v>
      </c>
      <c r="W25" s="27">
        <f t="shared" si="27"/>
        <v>0</v>
      </c>
      <c r="X25" s="208">
        <v>905</v>
      </c>
      <c r="Y25" s="197"/>
      <c r="Z25" s="198"/>
      <c r="AA25" s="197"/>
      <c r="AB25" s="253"/>
      <c r="AC25" s="251"/>
      <c r="AD25" s="251"/>
      <c r="AE25" s="253"/>
      <c r="AF25" s="253"/>
      <c r="AG25" s="251"/>
      <c r="AH25" s="251"/>
      <c r="AI25" s="198"/>
      <c r="AJ25" s="251"/>
    </row>
    <row r="26" spans="1:38" ht="22.5" customHeight="1" x14ac:dyDescent="0.3">
      <c r="A26" s="119" t="s">
        <v>41</v>
      </c>
      <c r="B26" s="40" t="s">
        <v>219</v>
      </c>
      <c r="C26" s="25">
        <v>1770.5</v>
      </c>
      <c r="D26" s="25"/>
      <c r="E26" s="25">
        <v>1770457</v>
      </c>
      <c r="F26" s="116"/>
      <c r="G26" s="116"/>
      <c r="H26" s="114"/>
      <c r="I26" s="114">
        <v>2906</v>
      </c>
      <c r="J26" s="114"/>
      <c r="K26" s="131">
        <v>0</v>
      </c>
      <c r="L26" s="198">
        <f t="shared" si="23"/>
        <v>3629290.9</v>
      </c>
      <c r="M26" s="198">
        <f t="shared" si="24"/>
        <v>3629290.9</v>
      </c>
      <c r="N26" s="198">
        <v>0</v>
      </c>
      <c r="O26" s="198"/>
      <c r="P26" s="198"/>
      <c r="Q26" s="25">
        <f t="shared" si="9"/>
        <v>3629290.9</v>
      </c>
      <c r="R26" s="198">
        <v>1380921.05</v>
      </c>
      <c r="S26" s="25">
        <f t="shared" si="10"/>
        <v>2038304.8399999999</v>
      </c>
      <c r="T26" s="27">
        <f t="shared" si="25"/>
        <v>2059123</v>
      </c>
      <c r="U26" s="27">
        <f t="shared" si="12"/>
        <v>2371315.54</v>
      </c>
      <c r="V26" s="27">
        <f t="shared" si="26"/>
        <v>2649749.5099999998</v>
      </c>
      <c r="W26" s="27">
        <f t="shared" si="27"/>
        <v>1610976.05</v>
      </c>
      <c r="X26" s="208">
        <v>902</v>
      </c>
      <c r="Y26" s="197">
        <v>3266316.61</v>
      </c>
      <c r="Z26" s="198">
        <v>362974.29</v>
      </c>
      <c r="AA26" s="197">
        <v>1834458.69</v>
      </c>
      <c r="AB26" s="265">
        <v>1736417.57</v>
      </c>
      <c r="AC26" s="73">
        <v>203846.15</v>
      </c>
      <c r="AD26" s="73">
        <v>322705.43</v>
      </c>
      <c r="AE26" s="253">
        <v>2134115.89</v>
      </c>
      <c r="AF26" s="264">
        <v>2315980.09</v>
      </c>
      <c r="AG26" s="262">
        <v>237199.65</v>
      </c>
      <c r="AH26" s="262">
        <v>333769.42</v>
      </c>
      <c r="AI26" s="263">
        <v>1397612.55</v>
      </c>
      <c r="AJ26" s="262">
        <v>213363.5</v>
      </c>
    </row>
    <row r="27" spans="1:38" x14ac:dyDescent="0.3">
      <c r="A27" s="171" t="s">
        <v>38</v>
      </c>
      <c r="B27" s="30" t="s">
        <v>131</v>
      </c>
      <c r="C27" s="16">
        <v>19.2</v>
      </c>
      <c r="D27" s="16"/>
      <c r="E27" s="25">
        <v>19200</v>
      </c>
      <c r="F27" s="116">
        <f>E27/1000</f>
        <v>19.2</v>
      </c>
      <c r="G27" s="116">
        <f>F27-C27</f>
        <v>0</v>
      </c>
      <c r="H27" s="114"/>
      <c r="I27" s="114">
        <v>4024.2</v>
      </c>
      <c r="J27" s="114"/>
      <c r="K27" s="131">
        <v>0</v>
      </c>
      <c r="L27" s="198">
        <f t="shared" si="23"/>
        <v>18575928</v>
      </c>
      <c r="M27" s="198">
        <f t="shared" si="24"/>
        <v>18575928</v>
      </c>
      <c r="N27" s="198">
        <v>0</v>
      </c>
      <c r="O27" s="198"/>
      <c r="P27" s="198"/>
      <c r="Q27" s="25">
        <f t="shared" si="9"/>
        <v>18575928</v>
      </c>
      <c r="R27" s="198">
        <v>80995</v>
      </c>
      <c r="S27" s="25">
        <f t="shared" si="10"/>
        <v>91927</v>
      </c>
      <c r="T27" s="27">
        <f t="shared" si="25"/>
        <v>50302</v>
      </c>
      <c r="U27" s="27">
        <f>AE27+AG27</f>
        <v>93599</v>
      </c>
      <c r="V27" s="27">
        <f t="shared" si="26"/>
        <v>51912</v>
      </c>
      <c r="W27" s="27">
        <f t="shared" si="27"/>
        <v>51236</v>
      </c>
      <c r="X27" s="208">
        <v>907</v>
      </c>
      <c r="Y27" s="197">
        <f>59209+16659126</f>
        <v>16718335</v>
      </c>
      <c r="Z27" s="198">
        <f>6579+1851014</f>
        <v>1857593</v>
      </c>
      <c r="AA27" s="197">
        <v>59209</v>
      </c>
      <c r="AB27" s="266">
        <v>45272</v>
      </c>
      <c r="AC27" s="263">
        <f>26139+6579</f>
        <v>32718</v>
      </c>
      <c r="AD27" s="263">
        <v>5030</v>
      </c>
      <c r="AE27" s="253">
        <v>62063</v>
      </c>
      <c r="AF27" s="264">
        <v>47759</v>
      </c>
      <c r="AG27" s="262">
        <f>26139+5397</f>
        <v>31536</v>
      </c>
      <c r="AH27" s="262">
        <v>4153</v>
      </c>
      <c r="AI27" s="263">
        <v>44575</v>
      </c>
      <c r="AJ27" s="262">
        <v>6661</v>
      </c>
    </row>
    <row r="28" spans="1:38" ht="59.25" customHeight="1" x14ac:dyDescent="0.3">
      <c r="A28" s="115" t="s">
        <v>78</v>
      </c>
      <c r="B28" s="118" t="s">
        <v>125</v>
      </c>
      <c r="C28" s="25">
        <v>10592.8</v>
      </c>
      <c r="D28" s="25"/>
      <c r="E28" s="25">
        <v>10592830</v>
      </c>
      <c r="F28" s="116">
        <f>E28/1000</f>
        <v>10592.83</v>
      </c>
      <c r="G28" s="116">
        <f>F28-C28</f>
        <v>3.0000000000654836E-2</v>
      </c>
      <c r="H28" s="114"/>
      <c r="I28" s="114">
        <v>5000</v>
      </c>
      <c r="J28" s="114"/>
      <c r="K28" s="131">
        <v>10000</v>
      </c>
      <c r="L28" s="198">
        <f t="shared" si="23"/>
        <v>0</v>
      </c>
      <c r="M28" s="198">
        <f t="shared" si="24"/>
        <v>-10000</v>
      </c>
      <c r="N28" s="198">
        <v>0</v>
      </c>
      <c r="O28" s="198"/>
      <c r="P28" s="198"/>
      <c r="Q28" s="25">
        <f t="shared" si="9"/>
        <v>0</v>
      </c>
      <c r="R28" s="198">
        <v>0</v>
      </c>
      <c r="S28" s="25">
        <f t="shared" si="10"/>
        <v>0</v>
      </c>
      <c r="T28" s="27">
        <f t="shared" si="25"/>
        <v>0</v>
      </c>
      <c r="U28" s="27">
        <f t="shared" si="12"/>
        <v>0</v>
      </c>
      <c r="V28" s="27">
        <f t="shared" si="26"/>
        <v>0</v>
      </c>
      <c r="W28" s="27">
        <f t="shared" si="27"/>
        <v>0</v>
      </c>
      <c r="X28" s="208" t="s">
        <v>61</v>
      </c>
      <c r="Y28" s="197"/>
      <c r="Z28" s="198"/>
      <c r="AA28" s="197"/>
      <c r="AB28" s="253"/>
      <c r="AC28" s="251"/>
      <c r="AD28" s="251"/>
      <c r="AE28" s="253"/>
      <c r="AF28" s="253"/>
      <c r="AG28" s="251"/>
      <c r="AH28" s="251"/>
      <c r="AI28" s="198"/>
      <c r="AJ28" s="251"/>
    </row>
    <row r="29" spans="1:38" ht="27.75" customHeight="1" x14ac:dyDescent="0.3">
      <c r="A29" s="171" t="s">
        <v>39</v>
      </c>
      <c r="B29" s="30" t="s">
        <v>59</v>
      </c>
      <c r="C29" s="25">
        <v>19852.8</v>
      </c>
      <c r="D29" s="25"/>
      <c r="E29" s="25">
        <v>19852840.23</v>
      </c>
      <c r="F29" s="116">
        <f t="shared" si="15"/>
        <v>19852.840230000002</v>
      </c>
      <c r="G29" s="116">
        <f t="shared" si="16"/>
        <v>4.0230000002338784E-2</v>
      </c>
      <c r="H29" s="114"/>
      <c r="I29" s="114">
        <v>17176</v>
      </c>
      <c r="J29" s="114"/>
      <c r="K29" s="131">
        <v>0</v>
      </c>
      <c r="L29" s="198">
        <f t="shared" si="23"/>
        <v>11649400.41</v>
      </c>
      <c r="M29" s="198">
        <f t="shared" si="24"/>
        <v>11649400.41</v>
      </c>
      <c r="N29" s="198">
        <v>0</v>
      </c>
      <c r="O29" s="198"/>
      <c r="P29" s="198"/>
      <c r="Q29" s="25">
        <f t="shared" si="9"/>
        <v>11649400.41</v>
      </c>
      <c r="R29" s="198">
        <v>16941187.739999998</v>
      </c>
      <c r="S29" s="25">
        <f t="shared" si="10"/>
        <v>18472315.27</v>
      </c>
      <c r="T29" s="27">
        <f t="shared" si="25"/>
        <v>13793737.970000001</v>
      </c>
      <c r="U29" s="27">
        <f t="shared" si="12"/>
        <v>0</v>
      </c>
      <c r="V29" s="27">
        <f t="shared" si="26"/>
        <v>0</v>
      </c>
      <c r="W29" s="27">
        <f t="shared" si="27"/>
        <v>0</v>
      </c>
      <c r="X29" s="208">
        <v>905</v>
      </c>
      <c r="Y29" s="116">
        <v>11532906.15</v>
      </c>
      <c r="Z29" s="198">
        <v>116494.26</v>
      </c>
      <c r="AA29" s="197">
        <v>18287591.640000001</v>
      </c>
      <c r="AB29" s="264">
        <v>13208704.34</v>
      </c>
      <c r="AC29" s="262">
        <v>184723.63</v>
      </c>
      <c r="AD29" s="262">
        <v>585033.63</v>
      </c>
      <c r="AE29" s="253"/>
      <c r="AF29" s="253"/>
      <c r="AG29" s="251"/>
      <c r="AH29" s="251"/>
      <c r="AI29" s="198"/>
      <c r="AJ29" s="251"/>
    </row>
    <row r="30" spans="1:38" ht="27" x14ac:dyDescent="0.3">
      <c r="A30" s="119" t="s">
        <v>40</v>
      </c>
      <c r="B30" s="120" t="s">
        <v>24</v>
      </c>
      <c r="C30" s="25"/>
      <c r="D30" s="25"/>
      <c r="E30" s="25"/>
      <c r="F30" s="116">
        <f t="shared" si="15"/>
        <v>0</v>
      </c>
      <c r="G30" s="116">
        <f t="shared" si="16"/>
        <v>0</v>
      </c>
      <c r="H30" s="114"/>
      <c r="I30" s="114"/>
      <c r="J30" s="114"/>
      <c r="K30" s="131">
        <v>0</v>
      </c>
      <c r="L30" s="198">
        <f t="shared" si="23"/>
        <v>0</v>
      </c>
      <c r="M30" s="198">
        <f t="shared" si="24"/>
        <v>0</v>
      </c>
      <c r="N30" s="198">
        <v>0</v>
      </c>
      <c r="O30" s="198"/>
      <c r="P30" s="198"/>
      <c r="Q30" s="25">
        <f t="shared" si="9"/>
        <v>0</v>
      </c>
      <c r="R30" s="198">
        <v>0</v>
      </c>
      <c r="S30" s="25">
        <f t="shared" si="10"/>
        <v>0</v>
      </c>
      <c r="T30" s="27">
        <f t="shared" si="25"/>
        <v>0</v>
      </c>
      <c r="U30" s="27">
        <f t="shared" si="12"/>
        <v>0</v>
      </c>
      <c r="V30" s="27">
        <f t="shared" si="26"/>
        <v>0</v>
      </c>
      <c r="W30" s="27">
        <f t="shared" si="27"/>
        <v>0</v>
      </c>
      <c r="X30" s="208"/>
      <c r="Y30" s="197"/>
      <c r="Z30" s="198"/>
      <c r="AA30" s="197"/>
      <c r="AB30" s="253"/>
      <c r="AC30" s="251"/>
      <c r="AD30" s="251"/>
      <c r="AE30" s="253"/>
      <c r="AF30" s="253"/>
      <c r="AG30" s="251"/>
      <c r="AH30" s="251"/>
      <c r="AI30" s="198"/>
      <c r="AJ30" s="251"/>
    </row>
    <row r="31" spans="1:38" x14ac:dyDescent="0.3">
      <c r="A31" s="222" t="s">
        <v>42</v>
      </c>
      <c r="B31" s="226" t="s">
        <v>20</v>
      </c>
      <c r="C31" s="24">
        <f>C32+C33+C38+C40+C46+C34+C39+C47+C49+C50</f>
        <v>7052.7</v>
      </c>
      <c r="D31" s="24">
        <f>D32+D33+D38+D40+D46+D34+D39+D47+D49+D50</f>
        <v>0</v>
      </c>
      <c r="E31" s="24">
        <f>E32+E33+E38+E40+E46+E34+E39+E47+E49+E50</f>
        <v>7052716.3899999997</v>
      </c>
      <c r="F31" s="24">
        <f>F32+F33+F38+F40+F46+F34+F39+F47+F49+F50</f>
        <v>6973.7163900000005</v>
      </c>
      <c r="G31" s="24">
        <f>G32+G33+G38+G40+G46+G34+G39+G47+G49+G50</f>
        <v>1.6390000000068738E-2</v>
      </c>
      <c r="H31" s="15">
        <f t="shared" ref="H31:N31" si="33">SUM(H32:H50)</f>
        <v>0</v>
      </c>
      <c r="I31" s="15">
        <f t="shared" si="33"/>
        <v>6369.8</v>
      </c>
      <c r="J31" s="15">
        <f t="shared" si="33"/>
        <v>0</v>
      </c>
      <c r="K31" s="224">
        <f t="shared" si="33"/>
        <v>0</v>
      </c>
      <c r="L31" s="24">
        <f t="shared" si="33"/>
        <v>19991584.880000003</v>
      </c>
      <c r="M31" s="225">
        <f t="shared" si="24"/>
        <v>19991584.880000003</v>
      </c>
      <c r="N31" s="24">
        <f t="shared" si="33"/>
        <v>0</v>
      </c>
      <c r="O31" s="24"/>
      <c r="P31" s="24"/>
      <c r="Q31" s="24">
        <f>SUM(Q32:Q50)</f>
        <v>32531745.879999999</v>
      </c>
      <c r="R31" s="24">
        <f t="shared" ref="R31:AG31" si="34">SUM(R32:R50)</f>
        <v>5042820</v>
      </c>
      <c r="S31" s="24">
        <f t="shared" si="34"/>
        <v>29178869</v>
      </c>
      <c r="T31" s="26">
        <f t="shared" si="34"/>
        <v>30012840</v>
      </c>
      <c r="U31" s="26">
        <f t="shared" si="34"/>
        <v>32006323</v>
      </c>
      <c r="V31" s="26">
        <f t="shared" si="34"/>
        <v>38851056</v>
      </c>
      <c r="W31" s="26">
        <f t="shared" si="34"/>
        <v>65725456</v>
      </c>
      <c r="X31" s="24"/>
      <c r="Y31" s="24">
        <f t="shared" si="34"/>
        <v>0</v>
      </c>
      <c r="Z31" s="24">
        <f t="shared" si="34"/>
        <v>32531745.879999999</v>
      </c>
      <c r="AA31" s="24">
        <f t="shared" si="34"/>
        <v>0</v>
      </c>
      <c r="AB31" s="26">
        <f t="shared" ref="AB31" si="35">SUM(AB32:AB50)</f>
        <v>0</v>
      </c>
      <c r="AC31" s="26">
        <f t="shared" si="34"/>
        <v>29178869</v>
      </c>
      <c r="AD31" s="26">
        <f>SUM(AD32:AD50)</f>
        <v>30012840</v>
      </c>
      <c r="AE31" s="26">
        <f t="shared" si="34"/>
        <v>0</v>
      </c>
      <c r="AF31" s="26">
        <f t="shared" ref="AF31" si="36">SUM(AF32:AF50)</f>
        <v>0</v>
      </c>
      <c r="AG31" s="26">
        <f t="shared" si="34"/>
        <v>32006323</v>
      </c>
      <c r="AH31" s="26">
        <f t="shared" ref="AH31:AI31" si="37">SUM(AH32:AH50)</f>
        <v>38851056</v>
      </c>
      <c r="AI31" s="24">
        <f t="shared" si="37"/>
        <v>0</v>
      </c>
      <c r="AJ31" s="26">
        <f>SUM(AJ32:AJ50)</f>
        <v>65725456</v>
      </c>
    </row>
    <row r="32" spans="1:38" ht="14.4" customHeight="1" x14ac:dyDescent="0.3">
      <c r="A32" s="171"/>
      <c r="B32" s="30" t="s">
        <v>21</v>
      </c>
      <c r="C32" s="25">
        <f>3236+2126</f>
        <v>5362</v>
      </c>
      <c r="D32" s="25"/>
      <c r="E32" s="25">
        <f>3236000+2126000</f>
        <v>5362000</v>
      </c>
      <c r="F32" s="116">
        <f t="shared" si="15"/>
        <v>5362</v>
      </c>
      <c r="G32" s="116">
        <f t="shared" si="16"/>
        <v>0</v>
      </c>
      <c r="H32" s="114"/>
      <c r="I32" s="114">
        <v>5412</v>
      </c>
      <c r="J32" s="114"/>
      <c r="K32" s="131">
        <v>0</v>
      </c>
      <c r="L32" s="198">
        <f t="shared" ref="L32:L50" si="38">Y32+Z32</f>
        <v>2314762</v>
      </c>
      <c r="M32" s="198">
        <f t="shared" si="24"/>
        <v>2314762</v>
      </c>
      <c r="N32" s="198">
        <v>0</v>
      </c>
      <c r="O32" s="198"/>
      <c r="P32" s="198"/>
      <c r="Q32" s="25">
        <f>Y32+Z32</f>
        <v>2314762</v>
      </c>
      <c r="R32" s="198">
        <v>1173820</v>
      </c>
      <c r="S32" s="25">
        <f t="shared" si="10"/>
        <v>1157381</v>
      </c>
      <c r="T32" s="27">
        <f t="shared" ref="T32:T50" si="39">AB32+AD32</f>
        <v>2291000</v>
      </c>
      <c r="U32" s="27">
        <f t="shared" si="12"/>
        <v>1157381</v>
      </c>
      <c r="V32" s="27">
        <f t="shared" ref="V32:V50" si="40">AF32+AH32</f>
        <v>2291000</v>
      </c>
      <c r="W32" s="27">
        <f t="shared" ref="W32:W50" si="41">AI32+AJ32</f>
        <v>2291000</v>
      </c>
      <c r="X32" s="208">
        <v>906</v>
      </c>
      <c r="Y32" s="197"/>
      <c r="Z32" s="198">
        <f>2314762</f>
        <v>2314762</v>
      </c>
      <c r="AA32" s="197"/>
      <c r="AB32" s="253"/>
      <c r="AC32" s="251">
        <f>1157381</f>
        <v>1157381</v>
      </c>
      <c r="AD32" s="262">
        <v>2291000</v>
      </c>
      <c r="AE32" s="264"/>
      <c r="AF32" s="264"/>
      <c r="AG32" s="262">
        <f>1157381</f>
        <v>1157381</v>
      </c>
      <c r="AH32" s="262">
        <v>2291000</v>
      </c>
      <c r="AI32" s="263"/>
      <c r="AJ32" s="262">
        <v>2291000</v>
      </c>
    </row>
    <row r="33" spans="1:36" ht="16.2" customHeight="1" x14ac:dyDescent="0.3">
      <c r="A33" s="171"/>
      <c r="B33" s="30" t="s">
        <v>123</v>
      </c>
      <c r="C33" s="25">
        <v>500</v>
      </c>
      <c r="D33" s="25"/>
      <c r="E33" s="25">
        <v>500000</v>
      </c>
      <c r="F33" s="116">
        <f t="shared" si="15"/>
        <v>500</v>
      </c>
      <c r="G33" s="116">
        <f t="shared" si="16"/>
        <v>0</v>
      </c>
      <c r="H33" s="114"/>
      <c r="I33" s="114">
        <v>543.79999999999995</v>
      </c>
      <c r="J33" s="114"/>
      <c r="K33" s="131">
        <v>0</v>
      </c>
      <c r="L33" s="198">
        <f t="shared" si="38"/>
        <v>7945000</v>
      </c>
      <c r="M33" s="198">
        <f t="shared" si="24"/>
        <v>7945000</v>
      </c>
      <c r="N33" s="198">
        <v>0</v>
      </c>
      <c r="O33" s="198"/>
      <c r="P33" s="198"/>
      <c r="Q33" s="25">
        <f t="shared" si="9"/>
        <v>7945000</v>
      </c>
      <c r="R33" s="198">
        <v>1700000</v>
      </c>
      <c r="S33" s="25">
        <f t="shared" si="10"/>
        <v>4295000</v>
      </c>
      <c r="T33" s="27">
        <f t="shared" si="39"/>
        <v>3441000</v>
      </c>
      <c r="U33" s="27">
        <f t="shared" si="12"/>
        <v>3795000</v>
      </c>
      <c r="V33" s="27">
        <f t="shared" si="40"/>
        <v>5991000</v>
      </c>
      <c r="W33" s="27">
        <f t="shared" si="41"/>
        <v>7991000</v>
      </c>
      <c r="X33" s="208">
        <v>906</v>
      </c>
      <c r="Y33" s="197"/>
      <c r="Z33" s="198">
        <v>7945000</v>
      </c>
      <c r="AA33" s="197"/>
      <c r="AB33" s="253"/>
      <c r="AC33" s="251">
        <v>4295000</v>
      </c>
      <c r="AD33" s="73">
        <v>3441000</v>
      </c>
      <c r="AE33" s="253"/>
      <c r="AF33" s="253"/>
      <c r="AG33" s="251">
        <v>3795000</v>
      </c>
      <c r="AH33" s="73">
        <v>5991000</v>
      </c>
      <c r="AI33" s="198"/>
      <c r="AJ33" s="73">
        <v>7991000</v>
      </c>
    </row>
    <row r="34" spans="1:36" ht="23.25" customHeight="1" x14ac:dyDescent="0.3">
      <c r="A34" s="171"/>
      <c r="B34" s="40" t="s">
        <v>120</v>
      </c>
      <c r="C34" s="25"/>
      <c r="D34" s="25"/>
      <c r="E34" s="25"/>
      <c r="F34" s="116">
        <f t="shared" si="15"/>
        <v>0</v>
      </c>
      <c r="G34" s="116">
        <f t="shared" si="16"/>
        <v>0</v>
      </c>
      <c r="H34" s="114"/>
      <c r="I34" s="114"/>
      <c r="J34" s="114"/>
      <c r="K34" s="131">
        <v>0</v>
      </c>
      <c r="L34" s="198">
        <f t="shared" si="38"/>
        <v>0</v>
      </c>
      <c r="M34" s="198">
        <f t="shared" si="24"/>
        <v>0</v>
      </c>
      <c r="N34" s="198">
        <v>0</v>
      </c>
      <c r="O34" s="198"/>
      <c r="P34" s="198"/>
      <c r="Q34" s="25">
        <f t="shared" si="9"/>
        <v>0</v>
      </c>
      <c r="R34" s="198">
        <v>0</v>
      </c>
      <c r="S34" s="25">
        <f t="shared" si="10"/>
        <v>1767100</v>
      </c>
      <c r="T34" s="27">
        <f t="shared" si="39"/>
        <v>1388900</v>
      </c>
      <c r="U34" s="27">
        <f t="shared" si="12"/>
        <v>0</v>
      </c>
      <c r="V34" s="27">
        <f t="shared" si="40"/>
        <v>0</v>
      </c>
      <c r="W34" s="27">
        <f t="shared" si="41"/>
        <v>0</v>
      </c>
      <c r="X34" s="208">
        <v>905</v>
      </c>
      <c r="Y34" s="197"/>
      <c r="Z34" s="198"/>
      <c r="AA34" s="197"/>
      <c r="AB34" s="253"/>
      <c r="AC34" s="251">
        <v>1767100</v>
      </c>
      <c r="AD34" s="73">
        <v>1388900</v>
      </c>
      <c r="AE34" s="253"/>
      <c r="AF34" s="253"/>
      <c r="AG34" s="251"/>
      <c r="AH34" s="251"/>
      <c r="AI34" s="198"/>
      <c r="AJ34" s="73">
        <v>0</v>
      </c>
    </row>
    <row r="35" spans="1:36" ht="23.25" customHeight="1" x14ac:dyDescent="0.3">
      <c r="A35" s="171"/>
      <c r="B35" s="40" t="s">
        <v>213</v>
      </c>
      <c r="C35" s="25"/>
      <c r="D35" s="25"/>
      <c r="E35" s="25"/>
      <c r="F35" s="116"/>
      <c r="G35" s="116"/>
      <c r="H35" s="114"/>
      <c r="I35" s="114"/>
      <c r="J35" s="114"/>
      <c r="K35" s="131"/>
      <c r="L35" s="198"/>
      <c r="M35" s="198"/>
      <c r="N35" s="198"/>
      <c r="O35" s="198"/>
      <c r="P35" s="198"/>
      <c r="Q35" s="25"/>
      <c r="R35" s="198"/>
      <c r="S35" s="25"/>
      <c r="T35" s="27">
        <f t="shared" si="39"/>
        <v>0</v>
      </c>
      <c r="U35" s="27"/>
      <c r="V35" s="27">
        <f t="shared" ref="V35" si="42">AF35+AH35</f>
        <v>0</v>
      </c>
      <c r="W35" s="27">
        <f t="shared" ref="W35" si="43">AI35+AJ35</f>
        <v>0</v>
      </c>
      <c r="X35" s="257">
        <v>905</v>
      </c>
      <c r="Y35" s="197"/>
      <c r="Z35" s="198"/>
      <c r="AA35" s="197"/>
      <c r="AB35" s="253"/>
      <c r="AC35" s="251"/>
      <c r="AD35" s="263"/>
      <c r="AE35" s="253"/>
      <c r="AF35" s="253"/>
      <c r="AG35" s="251"/>
      <c r="AH35" s="251"/>
      <c r="AI35" s="198"/>
      <c r="AJ35" s="251"/>
    </row>
    <row r="36" spans="1:36" ht="36.75" customHeight="1" x14ac:dyDescent="0.3">
      <c r="A36" s="171"/>
      <c r="B36" s="40" t="s">
        <v>193</v>
      </c>
      <c r="C36" s="25"/>
      <c r="D36" s="25"/>
      <c r="E36" s="25"/>
      <c r="F36" s="116"/>
      <c r="G36" s="116"/>
      <c r="H36" s="114"/>
      <c r="I36" s="114"/>
      <c r="J36" s="114"/>
      <c r="K36" s="131"/>
      <c r="L36" s="198"/>
      <c r="M36" s="198"/>
      <c r="N36" s="198"/>
      <c r="O36" s="198"/>
      <c r="P36" s="198"/>
      <c r="Q36" s="25">
        <f t="shared" si="9"/>
        <v>0</v>
      </c>
      <c r="R36" s="198"/>
      <c r="S36" s="25">
        <f t="shared" si="10"/>
        <v>8000000</v>
      </c>
      <c r="T36" s="27">
        <f t="shared" si="39"/>
        <v>8000000</v>
      </c>
      <c r="U36" s="27">
        <f t="shared" si="12"/>
        <v>21010000</v>
      </c>
      <c r="V36" s="27">
        <f t="shared" si="40"/>
        <v>21114000</v>
      </c>
      <c r="W36" s="27">
        <f t="shared" si="41"/>
        <v>0</v>
      </c>
      <c r="X36" s="208">
        <v>905</v>
      </c>
      <c r="Y36" s="197"/>
      <c r="Z36" s="198"/>
      <c r="AA36" s="197"/>
      <c r="AB36" s="253"/>
      <c r="AC36" s="251">
        <v>8000000</v>
      </c>
      <c r="AD36" s="262">
        <v>8000000</v>
      </c>
      <c r="AE36" s="253"/>
      <c r="AF36" s="253"/>
      <c r="AG36" s="251">
        <v>21010000</v>
      </c>
      <c r="AH36" s="262">
        <v>21114000</v>
      </c>
      <c r="AI36" s="198"/>
      <c r="AJ36" s="251"/>
    </row>
    <row r="37" spans="1:36" ht="24.6" x14ac:dyDescent="0.3">
      <c r="A37" s="171"/>
      <c r="B37" s="121" t="s">
        <v>88</v>
      </c>
      <c r="C37" s="25"/>
      <c r="D37" s="25"/>
      <c r="E37" s="25"/>
      <c r="F37" s="116"/>
      <c r="G37" s="116"/>
      <c r="H37" s="114"/>
      <c r="I37" s="114"/>
      <c r="J37" s="114"/>
      <c r="K37" s="131">
        <v>0</v>
      </c>
      <c r="L37" s="198">
        <f t="shared" si="38"/>
        <v>5001000</v>
      </c>
      <c r="M37" s="198">
        <f t="shared" si="24"/>
        <v>5001000</v>
      </c>
      <c r="N37" s="198">
        <v>0</v>
      </c>
      <c r="O37" s="198"/>
      <c r="P37" s="198"/>
      <c r="Q37" s="25">
        <f t="shared" si="9"/>
        <v>5001000</v>
      </c>
      <c r="R37" s="198">
        <v>1500000</v>
      </c>
      <c r="S37" s="25">
        <f t="shared" si="10"/>
        <v>2701000</v>
      </c>
      <c r="T37" s="27">
        <f t="shared" si="39"/>
        <v>3834000</v>
      </c>
      <c r="U37" s="27">
        <f t="shared" si="12"/>
        <v>2988900</v>
      </c>
      <c r="V37" s="27">
        <f t="shared" si="40"/>
        <v>4334000</v>
      </c>
      <c r="W37" s="27">
        <f t="shared" si="41"/>
        <v>4584000</v>
      </c>
      <c r="X37" s="208">
        <v>906</v>
      </c>
      <c r="Y37" s="197"/>
      <c r="Z37" s="198">
        <v>5001000</v>
      </c>
      <c r="AA37" s="197"/>
      <c r="AB37" s="253"/>
      <c r="AC37" s="251">
        <v>2701000</v>
      </c>
      <c r="AD37" s="262">
        <v>3834000</v>
      </c>
      <c r="AE37" s="253"/>
      <c r="AF37" s="253"/>
      <c r="AG37" s="251">
        <v>2988900</v>
      </c>
      <c r="AH37" s="262">
        <v>4334000</v>
      </c>
      <c r="AI37" s="263"/>
      <c r="AJ37" s="262">
        <v>4584000</v>
      </c>
    </row>
    <row r="38" spans="1:36" ht="15" customHeight="1" x14ac:dyDescent="0.3">
      <c r="A38" s="171"/>
      <c r="B38" s="30" t="s">
        <v>89</v>
      </c>
      <c r="C38" s="25">
        <v>508.9</v>
      </c>
      <c r="D38" s="25"/>
      <c r="E38" s="25">
        <v>508947.39</v>
      </c>
      <c r="F38" s="116">
        <f t="shared" si="15"/>
        <v>508.94739000000004</v>
      </c>
      <c r="G38" s="116">
        <f t="shared" si="16"/>
        <v>4.7390000000063992E-2</v>
      </c>
      <c r="H38" s="114"/>
      <c r="I38" s="114">
        <v>111</v>
      </c>
      <c r="J38" s="114"/>
      <c r="K38" s="131">
        <v>0</v>
      </c>
      <c r="L38" s="198">
        <f t="shared" si="38"/>
        <v>182000</v>
      </c>
      <c r="M38" s="198">
        <f t="shared" si="24"/>
        <v>182000</v>
      </c>
      <c r="N38" s="198">
        <v>0</v>
      </c>
      <c r="O38" s="198"/>
      <c r="P38" s="198"/>
      <c r="Q38" s="25">
        <f t="shared" si="9"/>
        <v>182000</v>
      </c>
      <c r="R38" s="198">
        <v>109000</v>
      </c>
      <c r="S38" s="25">
        <f t="shared" si="10"/>
        <v>109000</v>
      </c>
      <c r="T38" s="27">
        <f t="shared" si="39"/>
        <v>173000</v>
      </c>
      <c r="U38" s="27">
        <f t="shared" si="12"/>
        <v>109000</v>
      </c>
      <c r="V38" s="27">
        <f t="shared" si="40"/>
        <v>173000</v>
      </c>
      <c r="W38" s="27">
        <f t="shared" si="41"/>
        <v>173000</v>
      </c>
      <c r="X38" s="208">
        <v>902</v>
      </c>
      <c r="Y38" s="197"/>
      <c r="Z38" s="198">
        <v>182000</v>
      </c>
      <c r="AA38" s="197"/>
      <c r="AB38" s="253"/>
      <c r="AC38" s="251">
        <v>109000</v>
      </c>
      <c r="AD38" s="262">
        <v>173000</v>
      </c>
      <c r="AE38" s="264"/>
      <c r="AF38" s="264"/>
      <c r="AG38" s="262">
        <v>109000</v>
      </c>
      <c r="AH38" s="262">
        <v>173000</v>
      </c>
      <c r="AI38" s="263"/>
      <c r="AJ38" s="262">
        <v>173000</v>
      </c>
    </row>
    <row r="39" spans="1:36" ht="42.75" customHeight="1" x14ac:dyDescent="0.3">
      <c r="A39" s="171"/>
      <c r="B39" s="30" t="s">
        <v>31</v>
      </c>
      <c r="C39" s="16">
        <v>31.3</v>
      </c>
      <c r="D39" s="16"/>
      <c r="E39" s="25">
        <v>31250</v>
      </c>
      <c r="F39" s="116">
        <f t="shared" si="15"/>
        <v>31.25</v>
      </c>
      <c r="G39" s="116">
        <f t="shared" si="16"/>
        <v>-5.0000000000000711E-2</v>
      </c>
      <c r="H39" s="114"/>
      <c r="I39" s="114">
        <v>32</v>
      </c>
      <c r="J39" s="114"/>
      <c r="K39" s="131">
        <v>0</v>
      </c>
      <c r="L39" s="198">
        <f t="shared" si="38"/>
        <v>144000</v>
      </c>
      <c r="M39" s="198">
        <f t="shared" si="24"/>
        <v>144000</v>
      </c>
      <c r="N39" s="198">
        <v>0</v>
      </c>
      <c r="O39" s="198"/>
      <c r="P39" s="198"/>
      <c r="Q39" s="25">
        <f t="shared" si="9"/>
        <v>144000</v>
      </c>
      <c r="R39" s="198">
        <v>105000</v>
      </c>
      <c r="S39" s="25">
        <f t="shared" si="10"/>
        <v>144000</v>
      </c>
      <c r="T39" s="27">
        <f t="shared" si="39"/>
        <v>144000</v>
      </c>
      <c r="U39" s="27">
        <f t="shared" si="12"/>
        <v>144000</v>
      </c>
      <c r="V39" s="27">
        <f t="shared" si="40"/>
        <v>144000</v>
      </c>
      <c r="W39" s="27">
        <f t="shared" si="41"/>
        <v>144000</v>
      </c>
      <c r="X39" s="208">
        <v>902</v>
      </c>
      <c r="Y39" s="197"/>
      <c r="Z39" s="198">
        <v>144000</v>
      </c>
      <c r="AA39" s="197"/>
      <c r="AB39" s="253"/>
      <c r="AC39" s="251">
        <v>144000</v>
      </c>
      <c r="AD39" s="262">
        <v>144000</v>
      </c>
      <c r="AE39" s="253"/>
      <c r="AF39" s="253"/>
      <c r="AG39" s="251">
        <v>144000</v>
      </c>
      <c r="AH39" s="262">
        <v>144000</v>
      </c>
      <c r="AI39" s="263"/>
      <c r="AJ39" s="262">
        <v>144000</v>
      </c>
    </row>
    <row r="40" spans="1:36" ht="24" x14ac:dyDescent="0.3">
      <c r="A40" s="171"/>
      <c r="B40" s="165" t="s">
        <v>28</v>
      </c>
      <c r="C40" s="16">
        <v>571.5</v>
      </c>
      <c r="D40" s="16"/>
      <c r="E40" s="25">
        <v>571519</v>
      </c>
      <c r="F40" s="116">
        <f t="shared" si="15"/>
        <v>571.51900000000001</v>
      </c>
      <c r="G40" s="116">
        <f t="shared" si="16"/>
        <v>1.9000000000005457E-2</v>
      </c>
      <c r="H40" s="114"/>
      <c r="I40" s="114">
        <v>271</v>
      </c>
      <c r="J40" s="114"/>
      <c r="K40" s="131">
        <v>0</v>
      </c>
      <c r="L40" s="198">
        <f t="shared" si="38"/>
        <v>387324</v>
      </c>
      <c r="M40" s="198">
        <f t="shared" si="24"/>
        <v>387324</v>
      </c>
      <c r="N40" s="198">
        <v>0</v>
      </c>
      <c r="O40" s="198"/>
      <c r="P40" s="198"/>
      <c r="Q40" s="25">
        <f t="shared" si="9"/>
        <v>387324</v>
      </c>
      <c r="R40" s="198">
        <v>455000</v>
      </c>
      <c r="S40" s="25">
        <f t="shared" si="10"/>
        <v>387324</v>
      </c>
      <c r="T40" s="27">
        <f t="shared" si="39"/>
        <v>384620</v>
      </c>
      <c r="U40" s="27">
        <f t="shared" si="12"/>
        <v>387324</v>
      </c>
      <c r="V40" s="27">
        <f t="shared" si="40"/>
        <v>384620</v>
      </c>
      <c r="W40" s="27">
        <f t="shared" si="41"/>
        <v>384620</v>
      </c>
      <c r="X40" s="208">
        <v>902</v>
      </c>
      <c r="Y40" s="197"/>
      <c r="Z40" s="198">
        <v>387324</v>
      </c>
      <c r="AA40" s="197"/>
      <c r="AB40" s="253"/>
      <c r="AC40" s="251">
        <v>387324</v>
      </c>
      <c r="AD40" s="262">
        <v>384620</v>
      </c>
      <c r="AE40" s="264"/>
      <c r="AF40" s="264"/>
      <c r="AG40" s="262">
        <v>387324</v>
      </c>
      <c r="AH40" s="262">
        <v>384620</v>
      </c>
      <c r="AI40" s="263"/>
      <c r="AJ40" s="262">
        <v>384620</v>
      </c>
    </row>
    <row r="41" spans="1:36" ht="24" x14ac:dyDescent="0.3">
      <c r="A41" s="171"/>
      <c r="B41" s="165" t="s">
        <v>157</v>
      </c>
      <c r="C41" s="16"/>
      <c r="D41" s="16"/>
      <c r="E41" s="25"/>
      <c r="F41" s="116"/>
      <c r="G41" s="116"/>
      <c r="H41" s="114"/>
      <c r="I41" s="114"/>
      <c r="J41" s="114"/>
      <c r="K41" s="131"/>
      <c r="L41" s="198"/>
      <c r="M41" s="198"/>
      <c r="N41" s="198"/>
      <c r="O41" s="198"/>
      <c r="P41" s="198"/>
      <c r="Q41" s="25">
        <f t="shared" si="9"/>
        <v>0</v>
      </c>
      <c r="R41" s="198"/>
      <c r="S41" s="25">
        <f t="shared" si="10"/>
        <v>5000000</v>
      </c>
      <c r="T41" s="27">
        <f t="shared" si="39"/>
        <v>10000000</v>
      </c>
      <c r="U41" s="27">
        <f t="shared" si="12"/>
        <v>0</v>
      </c>
      <c r="V41" s="27">
        <f t="shared" si="40"/>
        <v>0</v>
      </c>
      <c r="W41" s="27">
        <f t="shared" si="41"/>
        <v>0</v>
      </c>
      <c r="X41" s="269">
        <v>907</v>
      </c>
      <c r="Y41" s="197"/>
      <c r="Z41" s="198">
        <v>0</v>
      </c>
      <c r="AA41" s="197"/>
      <c r="AB41" s="253"/>
      <c r="AC41" s="251">
        <v>5000000</v>
      </c>
      <c r="AD41" s="262">
        <v>10000000</v>
      </c>
      <c r="AE41" s="253"/>
      <c r="AF41" s="253"/>
      <c r="AG41" s="251"/>
      <c r="AH41" s="251"/>
      <c r="AI41" s="198"/>
      <c r="AJ41" s="251"/>
    </row>
    <row r="42" spans="1:36" ht="24" x14ac:dyDescent="0.3">
      <c r="A42" s="171"/>
      <c r="B42" s="165" t="s">
        <v>155</v>
      </c>
      <c r="C42" s="16"/>
      <c r="D42" s="16"/>
      <c r="E42" s="25"/>
      <c r="F42" s="116"/>
      <c r="G42" s="116"/>
      <c r="H42" s="114"/>
      <c r="I42" s="114"/>
      <c r="J42" s="114"/>
      <c r="K42" s="131"/>
      <c r="L42" s="198"/>
      <c r="M42" s="198"/>
      <c r="N42" s="198"/>
      <c r="O42" s="198"/>
      <c r="P42" s="198"/>
      <c r="Q42" s="25">
        <f t="shared" si="9"/>
        <v>10000000</v>
      </c>
      <c r="R42" s="198"/>
      <c r="S42" s="25">
        <f t="shared" si="10"/>
        <v>5000000</v>
      </c>
      <c r="T42" s="27">
        <f t="shared" si="39"/>
        <v>0</v>
      </c>
      <c r="U42" s="27">
        <f t="shared" si="12"/>
        <v>0</v>
      </c>
      <c r="V42" s="27">
        <f t="shared" si="40"/>
        <v>3000000</v>
      </c>
      <c r="W42" s="27">
        <f t="shared" si="41"/>
        <v>7200000</v>
      </c>
      <c r="X42" s="268">
        <v>907</v>
      </c>
      <c r="Y42" s="197"/>
      <c r="Z42" s="198">
        <v>10000000</v>
      </c>
      <c r="AA42" s="197"/>
      <c r="AB42" s="253"/>
      <c r="AC42" s="251">
        <v>5000000</v>
      </c>
      <c r="AD42" s="251"/>
      <c r="AE42" s="253"/>
      <c r="AF42" s="253"/>
      <c r="AG42" s="251"/>
      <c r="AH42" s="262">
        <v>3000000</v>
      </c>
      <c r="AI42" s="263"/>
      <c r="AJ42" s="262">
        <v>7200000</v>
      </c>
    </row>
    <row r="43" spans="1:36" ht="24" x14ac:dyDescent="0.3">
      <c r="A43" s="171"/>
      <c r="B43" s="165" t="s">
        <v>156</v>
      </c>
      <c r="C43" s="16"/>
      <c r="D43" s="16"/>
      <c r="E43" s="25"/>
      <c r="F43" s="116"/>
      <c r="G43" s="116"/>
      <c r="H43" s="114"/>
      <c r="I43" s="114"/>
      <c r="J43" s="114"/>
      <c r="K43" s="131"/>
      <c r="L43" s="198"/>
      <c r="M43" s="198"/>
      <c r="N43" s="198"/>
      <c r="O43" s="198"/>
      <c r="P43" s="198"/>
      <c r="Q43" s="25">
        <f t="shared" si="9"/>
        <v>600000</v>
      </c>
      <c r="R43" s="198"/>
      <c r="S43" s="25">
        <f t="shared" si="10"/>
        <v>600000</v>
      </c>
      <c r="T43" s="27">
        <f t="shared" si="39"/>
        <v>200000</v>
      </c>
      <c r="U43" s="27">
        <f t="shared" si="12"/>
        <v>600000</v>
      </c>
      <c r="V43" s="27">
        <f t="shared" si="40"/>
        <v>400000</v>
      </c>
      <c r="W43" s="27">
        <f t="shared" si="41"/>
        <v>400000</v>
      </c>
      <c r="X43" s="208">
        <v>906</v>
      </c>
      <c r="Y43" s="197"/>
      <c r="Z43" s="198">
        <v>600000</v>
      </c>
      <c r="AA43" s="197"/>
      <c r="AB43" s="253"/>
      <c r="AC43" s="251">
        <v>600000</v>
      </c>
      <c r="AD43" s="262">
        <v>200000</v>
      </c>
      <c r="AE43" s="253"/>
      <c r="AF43" s="253"/>
      <c r="AG43" s="251">
        <v>600000</v>
      </c>
      <c r="AH43" s="262">
        <v>400000</v>
      </c>
      <c r="AI43" s="263"/>
      <c r="AJ43" s="262">
        <v>400000</v>
      </c>
    </row>
    <row r="44" spans="1:36" ht="24" x14ac:dyDescent="0.3">
      <c r="A44" s="171"/>
      <c r="B44" s="165" t="s">
        <v>153</v>
      </c>
      <c r="C44" s="16"/>
      <c r="D44" s="16"/>
      <c r="E44" s="25"/>
      <c r="F44" s="116"/>
      <c r="G44" s="116"/>
      <c r="H44" s="114"/>
      <c r="I44" s="114"/>
      <c r="J44" s="114"/>
      <c r="K44" s="131"/>
      <c r="L44" s="198"/>
      <c r="M44" s="198"/>
      <c r="N44" s="198"/>
      <c r="O44" s="198"/>
      <c r="P44" s="198"/>
      <c r="Q44" s="25">
        <f t="shared" si="9"/>
        <v>0</v>
      </c>
      <c r="R44" s="198"/>
      <c r="S44" s="25">
        <f t="shared" si="10"/>
        <v>0</v>
      </c>
      <c r="T44" s="27">
        <f t="shared" si="39"/>
        <v>0</v>
      </c>
      <c r="U44" s="27">
        <f t="shared" si="12"/>
        <v>1814718</v>
      </c>
      <c r="V44" s="27">
        <f t="shared" si="40"/>
        <v>0</v>
      </c>
      <c r="W44" s="27">
        <f t="shared" si="41"/>
        <v>0</v>
      </c>
      <c r="X44" s="208">
        <v>904</v>
      </c>
      <c r="Y44" s="197"/>
      <c r="Z44" s="198"/>
      <c r="AA44" s="197"/>
      <c r="AB44" s="253"/>
      <c r="AC44" s="251"/>
      <c r="AD44" s="251"/>
      <c r="AE44" s="253"/>
      <c r="AF44" s="253"/>
      <c r="AG44" s="251">
        <v>1814718</v>
      </c>
      <c r="AH44" s="251"/>
      <c r="AI44" s="198"/>
      <c r="AJ44" s="251"/>
    </row>
    <row r="45" spans="1:36" ht="24" x14ac:dyDescent="0.3">
      <c r="A45" s="171"/>
      <c r="B45" s="30" t="s">
        <v>196</v>
      </c>
      <c r="C45" s="16"/>
      <c r="D45" s="16"/>
      <c r="E45" s="25"/>
      <c r="F45" s="116"/>
      <c r="G45" s="116"/>
      <c r="H45" s="114"/>
      <c r="I45" s="114"/>
      <c r="J45" s="114"/>
      <c r="K45" s="131"/>
      <c r="L45" s="198"/>
      <c r="M45" s="198"/>
      <c r="N45" s="198"/>
      <c r="O45" s="198"/>
      <c r="P45" s="198"/>
      <c r="Q45" s="25">
        <f t="shared" si="9"/>
        <v>1940161</v>
      </c>
      <c r="R45" s="198"/>
      <c r="S45" s="25">
        <f t="shared" si="10"/>
        <v>0</v>
      </c>
      <c r="T45" s="27">
        <f t="shared" si="39"/>
        <v>0</v>
      </c>
      <c r="U45" s="27">
        <f t="shared" si="12"/>
        <v>0</v>
      </c>
      <c r="V45" s="27">
        <f t="shared" si="40"/>
        <v>1000000</v>
      </c>
      <c r="W45" s="27">
        <f t="shared" si="41"/>
        <v>538400</v>
      </c>
      <c r="X45" s="208">
        <v>907</v>
      </c>
      <c r="Y45" s="197"/>
      <c r="Z45" s="198">
        <v>1940161</v>
      </c>
      <c r="AA45" s="197"/>
      <c r="AB45" s="253"/>
      <c r="AC45" s="251"/>
      <c r="AD45" s="251"/>
      <c r="AE45" s="253"/>
      <c r="AF45" s="253"/>
      <c r="AG45" s="251"/>
      <c r="AH45" s="262">
        <v>1000000</v>
      </c>
      <c r="AI45" s="263"/>
      <c r="AJ45" s="262">
        <v>538400</v>
      </c>
    </row>
    <row r="46" spans="1:36" ht="37.5" customHeight="1" x14ac:dyDescent="0.3">
      <c r="A46" s="171"/>
      <c r="B46" s="165" t="s">
        <v>191</v>
      </c>
      <c r="C46" s="16"/>
      <c r="D46" s="16"/>
      <c r="E46" s="25"/>
      <c r="F46" s="116">
        <f t="shared" si="15"/>
        <v>0</v>
      </c>
      <c r="G46" s="116">
        <f t="shared" si="16"/>
        <v>0</v>
      </c>
      <c r="H46" s="114"/>
      <c r="I46" s="114"/>
      <c r="J46" s="114"/>
      <c r="K46" s="131"/>
      <c r="L46" s="198">
        <f t="shared" si="38"/>
        <v>17498.88</v>
      </c>
      <c r="M46" s="198">
        <f t="shared" si="24"/>
        <v>17498.88</v>
      </c>
      <c r="N46" s="198">
        <v>0</v>
      </c>
      <c r="O46" s="198"/>
      <c r="P46" s="198"/>
      <c r="Q46" s="25">
        <f t="shared" si="9"/>
        <v>17498.88</v>
      </c>
      <c r="R46" s="198">
        <v>0</v>
      </c>
      <c r="S46" s="25">
        <f t="shared" si="10"/>
        <v>18064</v>
      </c>
      <c r="T46" s="27">
        <f t="shared" si="39"/>
        <v>19320</v>
      </c>
      <c r="U46" s="27">
        <f t="shared" si="12"/>
        <v>0</v>
      </c>
      <c r="V46" s="27">
        <f t="shared" si="40"/>
        <v>19436</v>
      </c>
      <c r="W46" s="27">
        <f t="shared" si="41"/>
        <v>19436</v>
      </c>
      <c r="X46" s="208">
        <v>907</v>
      </c>
      <c r="Y46" s="197"/>
      <c r="Z46" s="198">
        <f>18064-565.12</f>
        <v>17498.88</v>
      </c>
      <c r="AA46" s="197"/>
      <c r="AB46" s="253"/>
      <c r="AC46" s="251">
        <v>18064</v>
      </c>
      <c r="AD46" s="262">
        <v>19320</v>
      </c>
      <c r="AE46" s="253"/>
      <c r="AF46" s="253"/>
      <c r="AG46" s="251"/>
      <c r="AH46" s="262">
        <v>19436</v>
      </c>
      <c r="AI46" s="263"/>
      <c r="AJ46" s="262">
        <v>19436</v>
      </c>
    </row>
    <row r="47" spans="1:36" ht="24" x14ac:dyDescent="0.3">
      <c r="A47" s="171"/>
      <c r="B47" s="165" t="s">
        <v>167</v>
      </c>
      <c r="C47" s="16"/>
      <c r="D47" s="16"/>
      <c r="E47" s="25"/>
      <c r="F47" s="116">
        <f t="shared" si="15"/>
        <v>0</v>
      </c>
      <c r="G47" s="116">
        <f t="shared" si="16"/>
        <v>0</v>
      </c>
      <c r="H47" s="114"/>
      <c r="I47" s="114"/>
      <c r="J47" s="114"/>
      <c r="K47" s="131"/>
      <c r="L47" s="198">
        <f t="shared" si="38"/>
        <v>4000000</v>
      </c>
      <c r="M47" s="198">
        <f t="shared" si="24"/>
        <v>4000000</v>
      </c>
      <c r="N47" s="198">
        <v>0</v>
      </c>
      <c r="O47" s="198"/>
      <c r="P47" s="198"/>
      <c r="Q47" s="25">
        <f t="shared" si="9"/>
        <v>4000000</v>
      </c>
      <c r="R47" s="198">
        <v>0</v>
      </c>
      <c r="S47" s="25">
        <f t="shared" si="10"/>
        <v>0</v>
      </c>
      <c r="T47" s="27">
        <f t="shared" si="39"/>
        <v>0</v>
      </c>
      <c r="U47" s="27">
        <f t="shared" si="12"/>
        <v>0</v>
      </c>
      <c r="V47" s="27">
        <f t="shared" si="40"/>
        <v>0</v>
      </c>
      <c r="W47" s="27">
        <f t="shared" si="41"/>
        <v>0</v>
      </c>
      <c r="X47" s="208">
        <v>905</v>
      </c>
      <c r="Y47" s="197"/>
      <c r="Z47" s="198">
        <v>4000000</v>
      </c>
      <c r="AA47" s="197"/>
      <c r="AB47" s="253"/>
      <c r="AC47" s="251"/>
      <c r="AD47" s="251"/>
      <c r="AE47" s="253"/>
      <c r="AF47" s="253"/>
      <c r="AG47" s="251"/>
      <c r="AH47" s="251"/>
      <c r="AI47" s="198"/>
      <c r="AJ47" s="251"/>
    </row>
    <row r="48" spans="1:36" ht="24" x14ac:dyDescent="0.3">
      <c r="A48" s="171"/>
      <c r="B48" s="165" t="s">
        <v>222</v>
      </c>
      <c r="C48" s="16"/>
      <c r="D48" s="16"/>
      <c r="E48" s="25"/>
      <c r="F48" s="116"/>
      <c r="G48" s="116"/>
      <c r="H48" s="114"/>
      <c r="I48" s="114"/>
      <c r="J48" s="114"/>
      <c r="K48" s="131"/>
      <c r="L48" s="198"/>
      <c r="M48" s="198"/>
      <c r="N48" s="198"/>
      <c r="O48" s="198"/>
      <c r="P48" s="198"/>
      <c r="Q48" s="25"/>
      <c r="R48" s="198"/>
      <c r="S48" s="25"/>
      <c r="T48" s="27">
        <f t="shared" si="39"/>
        <v>137000</v>
      </c>
      <c r="U48" s="27"/>
      <c r="V48" s="27">
        <f t="shared" ref="V48" si="44">AF48+AH48</f>
        <v>0</v>
      </c>
      <c r="W48" s="27">
        <f t="shared" ref="W48" si="45">AI48+AJ48</f>
        <v>2000000</v>
      </c>
      <c r="X48" s="257">
        <v>905</v>
      </c>
      <c r="Y48" s="197"/>
      <c r="Z48" s="198"/>
      <c r="AA48" s="197"/>
      <c r="AB48" s="253"/>
      <c r="AC48" s="251"/>
      <c r="AD48" s="262">
        <v>137000</v>
      </c>
      <c r="AE48" s="253"/>
      <c r="AF48" s="253"/>
      <c r="AG48" s="251"/>
      <c r="AH48" s="251"/>
      <c r="AI48" s="198"/>
      <c r="AJ48" s="262">
        <v>2000000</v>
      </c>
    </row>
    <row r="49" spans="1:36" ht="24" x14ac:dyDescent="0.3">
      <c r="A49" s="171"/>
      <c r="B49" s="165" t="s">
        <v>220</v>
      </c>
      <c r="C49" s="16"/>
      <c r="D49" s="16"/>
      <c r="E49" s="25"/>
      <c r="F49" s="116">
        <f t="shared" si="15"/>
        <v>0</v>
      </c>
      <c r="G49" s="116">
        <f t="shared" si="16"/>
        <v>0</v>
      </c>
      <c r="H49" s="114"/>
      <c r="I49" s="114"/>
      <c r="J49" s="114"/>
      <c r="K49" s="131"/>
      <c r="L49" s="198">
        <f t="shared" si="38"/>
        <v>0</v>
      </c>
      <c r="M49" s="198">
        <f t="shared" si="24"/>
        <v>0</v>
      </c>
      <c r="N49" s="198">
        <v>0</v>
      </c>
      <c r="O49" s="198"/>
      <c r="P49" s="198"/>
      <c r="Q49" s="25">
        <f t="shared" si="9"/>
        <v>0</v>
      </c>
      <c r="R49" s="198">
        <v>0</v>
      </c>
      <c r="S49" s="25">
        <f t="shared" si="10"/>
        <v>0</v>
      </c>
      <c r="T49" s="27">
        <f t="shared" si="39"/>
        <v>0</v>
      </c>
      <c r="U49" s="27">
        <f t="shared" si="12"/>
        <v>0</v>
      </c>
      <c r="V49" s="27">
        <f t="shared" si="40"/>
        <v>0</v>
      </c>
      <c r="W49" s="27">
        <f t="shared" si="41"/>
        <v>32000000</v>
      </c>
      <c r="X49" s="257">
        <v>905</v>
      </c>
      <c r="Y49" s="197"/>
      <c r="Z49" s="198"/>
      <c r="AA49" s="197"/>
      <c r="AB49" s="253"/>
      <c r="AC49" s="251"/>
      <c r="AD49" s="251"/>
      <c r="AE49" s="253"/>
      <c r="AF49" s="253"/>
      <c r="AG49" s="251"/>
      <c r="AH49" s="251"/>
      <c r="AI49" s="198"/>
      <c r="AJ49" s="262">
        <v>32000000</v>
      </c>
    </row>
    <row r="50" spans="1:36" ht="24" x14ac:dyDescent="0.3">
      <c r="A50" s="171"/>
      <c r="B50" s="165" t="s">
        <v>221</v>
      </c>
      <c r="C50" s="16">
        <v>79</v>
      </c>
      <c r="D50" s="16"/>
      <c r="E50" s="25">
        <v>79000</v>
      </c>
      <c r="F50" s="116"/>
      <c r="G50" s="116"/>
      <c r="H50" s="114"/>
      <c r="I50" s="114"/>
      <c r="J50" s="114"/>
      <c r="K50" s="131"/>
      <c r="L50" s="198">
        <f t="shared" si="38"/>
        <v>0</v>
      </c>
      <c r="M50" s="198">
        <f t="shared" si="24"/>
        <v>0</v>
      </c>
      <c r="N50" s="198">
        <v>0</v>
      </c>
      <c r="O50" s="198"/>
      <c r="P50" s="198"/>
      <c r="Q50" s="25">
        <f t="shared" si="9"/>
        <v>0</v>
      </c>
      <c r="R50" s="198">
        <v>0</v>
      </c>
      <c r="S50" s="25">
        <f t="shared" si="10"/>
        <v>0</v>
      </c>
      <c r="T50" s="27">
        <f t="shared" si="39"/>
        <v>0</v>
      </c>
      <c r="U50" s="27">
        <f t="shared" si="12"/>
        <v>0</v>
      </c>
      <c r="V50" s="27">
        <f t="shared" si="40"/>
        <v>0</v>
      </c>
      <c r="W50" s="27">
        <f t="shared" si="41"/>
        <v>8000000</v>
      </c>
      <c r="X50" s="257">
        <v>907</v>
      </c>
      <c r="Y50" s="197"/>
      <c r="Z50" s="198"/>
      <c r="AA50" s="197"/>
      <c r="AB50" s="253"/>
      <c r="AC50" s="251"/>
      <c r="AD50" s="251"/>
      <c r="AE50" s="253"/>
      <c r="AF50" s="253"/>
      <c r="AG50" s="251"/>
      <c r="AH50" s="251"/>
      <c r="AI50" s="198"/>
      <c r="AJ50" s="262">
        <v>8000000</v>
      </c>
    </row>
    <row r="51" spans="1:36" ht="16.95" customHeight="1" x14ac:dyDescent="0.3">
      <c r="A51" s="222" t="s">
        <v>43</v>
      </c>
      <c r="B51" s="223" t="s">
        <v>3</v>
      </c>
      <c r="C51" s="227">
        <f>C52+C64+C65+C66+C68</f>
        <v>726424</v>
      </c>
      <c r="D51" s="227">
        <f>D52+D64+D65+D66+D68</f>
        <v>0</v>
      </c>
      <c r="E51" s="227">
        <f>E52+E64+E65+E66+E68</f>
        <v>726423994</v>
      </c>
      <c r="F51" s="227">
        <f>F52+F64+F65+F66+F68</f>
        <v>726423.99399999995</v>
      </c>
      <c r="G51" s="227">
        <f>G52+G64+G65+G66+G68</f>
        <v>-6.0000000003128662E-3</v>
      </c>
      <c r="H51" s="227">
        <f t="shared" ref="H51:N51" si="46">H52+H64+H65+H66+H68+H69</f>
        <v>608092</v>
      </c>
      <c r="I51" s="227">
        <f t="shared" si="46"/>
        <v>774941</v>
      </c>
      <c r="J51" s="227">
        <f t="shared" si="46"/>
        <v>696541</v>
      </c>
      <c r="K51" s="228">
        <f t="shared" si="46"/>
        <v>545714</v>
      </c>
      <c r="L51" s="210">
        <f t="shared" si="46"/>
        <v>969493522</v>
      </c>
      <c r="M51" s="210">
        <f t="shared" si="46"/>
        <v>968947808</v>
      </c>
      <c r="N51" s="210">
        <f t="shared" si="46"/>
        <v>417933</v>
      </c>
      <c r="O51" s="210"/>
      <c r="P51" s="210"/>
      <c r="Q51" s="24">
        <f>Q52+Q64+Q65+Q66+Q67+Q68+Q69</f>
        <v>971011622</v>
      </c>
      <c r="R51" s="24">
        <f t="shared" ref="R51:AG51" si="47">R52+R64+R65+R66+R67+R68+R69</f>
        <v>891169400</v>
      </c>
      <c r="S51" s="24">
        <f t="shared" si="47"/>
        <v>964498001</v>
      </c>
      <c r="T51" s="26">
        <f t="shared" si="47"/>
        <v>1010238100</v>
      </c>
      <c r="U51" s="26">
        <f t="shared" si="47"/>
        <v>1119375814</v>
      </c>
      <c r="V51" s="26">
        <f t="shared" ref="V51:W51" si="48">V52+V64+V65+V66+V67+V68+V69</f>
        <v>997120000</v>
      </c>
      <c r="W51" s="26">
        <f t="shared" si="48"/>
        <v>1012203500</v>
      </c>
      <c r="X51" s="24"/>
      <c r="Y51" s="24">
        <f t="shared" si="47"/>
        <v>3714622</v>
      </c>
      <c r="Z51" s="24">
        <f t="shared" si="47"/>
        <v>967297000</v>
      </c>
      <c r="AA51" s="24">
        <f t="shared" si="47"/>
        <v>14210001</v>
      </c>
      <c r="AB51" s="26">
        <f t="shared" ref="AB51" si="49">AB52+AB64+AB65+AB66+AB67+AB68+AB69</f>
        <v>4501000</v>
      </c>
      <c r="AC51" s="26">
        <f t="shared" si="47"/>
        <v>950288000</v>
      </c>
      <c r="AD51" s="26">
        <f t="shared" ref="AD51" si="50">AD52+AD64+AD65+AD66+AD67+AD68+AD69</f>
        <v>1005737100</v>
      </c>
      <c r="AE51" s="26">
        <f t="shared" si="47"/>
        <v>14886814</v>
      </c>
      <c r="AF51" s="26">
        <f t="shared" ref="AF51" si="51">AF52+AF64+AF65+AF66+AF67+AF68+AF69</f>
        <v>5818300</v>
      </c>
      <c r="AG51" s="26">
        <f t="shared" si="47"/>
        <v>1104489000</v>
      </c>
      <c r="AH51" s="26">
        <f t="shared" ref="AH51:AI51" si="52">AH52+AH64+AH65+AH66+AH67+AH68+AH69</f>
        <v>991301700</v>
      </c>
      <c r="AI51" s="24">
        <f t="shared" si="52"/>
        <v>5454200</v>
      </c>
      <c r="AJ51" s="26">
        <f t="shared" ref="AJ51" si="53">AJ52+AJ64+AJ65+AJ66+AJ67+AJ68+AJ69</f>
        <v>1006749300</v>
      </c>
    </row>
    <row r="52" spans="1:36" ht="24.6" customHeight="1" x14ac:dyDescent="0.3">
      <c r="A52" s="222" t="s">
        <v>44</v>
      </c>
      <c r="B52" s="223" t="s">
        <v>4</v>
      </c>
      <c r="C52" s="227">
        <f>SUM(C53:C63)</f>
        <v>691386</v>
      </c>
      <c r="D52" s="227">
        <f>SUM(D53:D63)</f>
        <v>0</v>
      </c>
      <c r="E52" s="210">
        <f>SUM(E53:E63)</f>
        <v>691386000</v>
      </c>
      <c r="F52" s="229">
        <f t="shared" si="15"/>
        <v>691386</v>
      </c>
      <c r="G52" s="229">
        <f>F52-C52</f>
        <v>0</v>
      </c>
      <c r="H52" s="227">
        <f t="shared" ref="H52:N52" si="54">SUM(H53:H63)</f>
        <v>576319</v>
      </c>
      <c r="I52" s="227">
        <f t="shared" si="54"/>
        <v>739626</v>
      </c>
      <c r="J52" s="227">
        <f t="shared" si="54"/>
        <v>662922</v>
      </c>
      <c r="K52" s="228">
        <f t="shared" si="54"/>
        <v>510529</v>
      </c>
      <c r="L52" s="210">
        <f t="shared" si="54"/>
        <v>917883000</v>
      </c>
      <c r="M52" s="210">
        <f t="shared" si="54"/>
        <v>917372471</v>
      </c>
      <c r="N52" s="210">
        <f t="shared" si="54"/>
        <v>383394</v>
      </c>
      <c r="O52" s="210"/>
      <c r="P52" s="210"/>
      <c r="Q52" s="24">
        <f>SUM(Q53:Q63)</f>
        <v>919397000</v>
      </c>
      <c r="R52" s="24">
        <f t="shared" ref="R52:AG52" si="55">SUM(R53:R63)</f>
        <v>800982000</v>
      </c>
      <c r="S52" s="24">
        <f t="shared" si="55"/>
        <v>867867000</v>
      </c>
      <c r="T52" s="26">
        <f t="shared" si="55"/>
        <v>955035000</v>
      </c>
      <c r="U52" s="26">
        <f t="shared" si="55"/>
        <v>1021364000</v>
      </c>
      <c r="V52" s="26">
        <f>SUM(V53:V63)</f>
        <v>936600000</v>
      </c>
      <c r="W52" s="26">
        <f t="shared" ref="W52" si="56">SUM(W53:W63)</f>
        <v>952542000</v>
      </c>
      <c r="X52" s="24"/>
      <c r="Y52" s="24">
        <f t="shared" si="55"/>
        <v>0</v>
      </c>
      <c r="Z52" s="24">
        <f t="shared" si="55"/>
        <v>919397000</v>
      </c>
      <c r="AA52" s="24">
        <f t="shared" si="55"/>
        <v>0</v>
      </c>
      <c r="AB52" s="26">
        <f t="shared" ref="AB52" si="57">SUM(AB53:AB63)</f>
        <v>0</v>
      </c>
      <c r="AC52" s="26">
        <f t="shared" si="55"/>
        <v>867867000</v>
      </c>
      <c r="AD52" s="26">
        <f t="shared" ref="AD52" si="58">SUM(AD53:AD63)</f>
        <v>955035000</v>
      </c>
      <c r="AE52" s="26">
        <f t="shared" si="55"/>
        <v>0</v>
      </c>
      <c r="AF52" s="26">
        <f t="shared" ref="AF52" si="59">SUM(AF53:AF63)</f>
        <v>0</v>
      </c>
      <c r="AG52" s="26">
        <f t="shared" si="55"/>
        <v>1021364000</v>
      </c>
      <c r="AH52" s="26">
        <f t="shared" ref="AH52:AI52" si="60">SUM(AH53:AH63)</f>
        <v>936600000</v>
      </c>
      <c r="AI52" s="24">
        <f t="shared" si="60"/>
        <v>0</v>
      </c>
      <c r="AJ52" s="26">
        <f t="shared" ref="AJ52" si="61">SUM(AJ53:AJ63)</f>
        <v>952542000</v>
      </c>
    </row>
    <row r="53" spans="1:36" ht="63.75" customHeight="1" x14ac:dyDescent="0.3">
      <c r="A53" s="171"/>
      <c r="B53" s="165" t="s">
        <v>5</v>
      </c>
      <c r="C53" s="122">
        <v>386036</v>
      </c>
      <c r="D53" s="123"/>
      <c r="E53" s="124">
        <v>386036000</v>
      </c>
      <c r="F53" s="116">
        <f t="shared" si="15"/>
        <v>386036</v>
      </c>
      <c r="G53" s="116">
        <f t="shared" si="16"/>
        <v>0</v>
      </c>
      <c r="H53" s="114">
        <v>334797</v>
      </c>
      <c r="I53" s="114">
        <v>430728</v>
      </c>
      <c r="J53" s="114">
        <v>385292</v>
      </c>
      <c r="K53" s="131">
        <v>300084</v>
      </c>
      <c r="L53" s="198">
        <f t="shared" ref="L53:L72" si="62">Y53+Z53</f>
        <v>536533000</v>
      </c>
      <c r="M53" s="198">
        <f t="shared" ref="M53:M72" si="63">L53-K53</f>
        <v>536232916</v>
      </c>
      <c r="N53" s="198">
        <v>224097</v>
      </c>
      <c r="O53" s="198"/>
      <c r="P53" s="198"/>
      <c r="Q53" s="25">
        <f>Y53+Z53</f>
        <v>536533000</v>
      </c>
      <c r="R53" s="198">
        <v>449375000</v>
      </c>
      <c r="S53" s="25">
        <f t="shared" si="10"/>
        <v>490287000</v>
      </c>
      <c r="T53" s="27">
        <f t="shared" ref="T53:T68" si="64">AB53+AD53</f>
        <v>554322000</v>
      </c>
      <c r="U53" s="27">
        <f t="shared" si="12"/>
        <v>591491000</v>
      </c>
      <c r="V53" s="27">
        <f t="shared" ref="V53:V68" si="65">AF53+AH53</f>
        <v>552742000</v>
      </c>
      <c r="W53" s="27">
        <f t="shared" ref="W53:W68" si="66">AI53+AJ53</f>
        <v>558436000</v>
      </c>
      <c r="X53" s="208">
        <v>906</v>
      </c>
      <c r="Y53" s="197"/>
      <c r="Z53" s="198">
        <v>536533000</v>
      </c>
      <c r="AA53" s="197"/>
      <c r="AB53" s="253"/>
      <c r="AC53" s="251">
        <v>490287000</v>
      </c>
      <c r="AD53" s="262">
        <v>554322000</v>
      </c>
      <c r="AE53" s="253"/>
      <c r="AF53" s="253"/>
      <c r="AG53" s="251">
        <v>591491000</v>
      </c>
      <c r="AH53" s="262">
        <v>552742000</v>
      </c>
      <c r="AI53" s="198"/>
      <c r="AJ53" s="262">
        <v>558436000</v>
      </c>
    </row>
    <row r="54" spans="1:36" ht="39.75" customHeight="1" x14ac:dyDescent="0.3">
      <c r="A54" s="171"/>
      <c r="B54" s="165" t="s">
        <v>6</v>
      </c>
      <c r="C54" s="122">
        <v>295813</v>
      </c>
      <c r="D54" s="123"/>
      <c r="E54" s="124">
        <v>295813000</v>
      </c>
      <c r="F54" s="116">
        <f t="shared" si="15"/>
        <v>295813</v>
      </c>
      <c r="G54" s="116">
        <f t="shared" si="16"/>
        <v>0</v>
      </c>
      <c r="H54" s="114">
        <v>231806</v>
      </c>
      <c r="I54" s="114">
        <v>299172</v>
      </c>
      <c r="J54" s="114">
        <v>267660</v>
      </c>
      <c r="K54" s="131">
        <v>199795</v>
      </c>
      <c r="L54" s="198">
        <f t="shared" si="62"/>
        <v>362453000</v>
      </c>
      <c r="M54" s="198">
        <f t="shared" si="63"/>
        <v>362253205</v>
      </c>
      <c r="N54" s="198">
        <v>148579</v>
      </c>
      <c r="O54" s="198"/>
      <c r="P54" s="198"/>
      <c r="Q54" s="25">
        <f t="shared" si="9"/>
        <v>362453000</v>
      </c>
      <c r="R54" s="198">
        <v>339524000</v>
      </c>
      <c r="S54" s="25">
        <f t="shared" si="10"/>
        <v>357193000</v>
      </c>
      <c r="T54" s="27">
        <f t="shared" si="64"/>
        <v>370796000</v>
      </c>
      <c r="U54" s="27">
        <f t="shared" si="12"/>
        <v>409103000</v>
      </c>
      <c r="V54" s="27">
        <f t="shared" si="65"/>
        <v>353326000</v>
      </c>
      <c r="W54" s="27">
        <f t="shared" si="66"/>
        <v>362897000</v>
      </c>
      <c r="X54" s="208">
        <v>906</v>
      </c>
      <c r="Y54" s="197"/>
      <c r="Z54" s="198">
        <v>362453000</v>
      </c>
      <c r="AA54" s="197"/>
      <c r="AB54" s="253"/>
      <c r="AC54" s="251">
        <v>357193000</v>
      </c>
      <c r="AD54" s="262">
        <v>370796000</v>
      </c>
      <c r="AE54" s="253"/>
      <c r="AF54" s="253"/>
      <c r="AG54" s="251">
        <v>409103000</v>
      </c>
      <c r="AH54" s="262">
        <v>353326000</v>
      </c>
      <c r="AI54" s="263"/>
      <c r="AJ54" s="262">
        <v>362897000</v>
      </c>
    </row>
    <row r="55" spans="1:36" ht="25.2" customHeight="1" x14ac:dyDescent="0.3">
      <c r="A55" s="171"/>
      <c r="B55" s="165" t="s">
        <v>7</v>
      </c>
      <c r="C55" s="122">
        <v>6199</v>
      </c>
      <c r="D55" s="123"/>
      <c r="E55" s="124">
        <v>6199000</v>
      </c>
      <c r="F55" s="116">
        <f t="shared" si="15"/>
        <v>6199</v>
      </c>
      <c r="G55" s="116">
        <f t="shared" si="16"/>
        <v>0</v>
      </c>
      <c r="H55" s="114">
        <v>6291</v>
      </c>
      <c r="I55" s="114">
        <v>6291</v>
      </c>
      <c r="J55" s="114">
        <v>6463</v>
      </c>
      <c r="K55" s="131">
        <v>5889</v>
      </c>
      <c r="L55" s="198">
        <f t="shared" si="62"/>
        <v>7478000</v>
      </c>
      <c r="M55" s="198">
        <f t="shared" si="63"/>
        <v>7472111</v>
      </c>
      <c r="N55" s="198">
        <v>5889</v>
      </c>
      <c r="O55" s="198"/>
      <c r="P55" s="198"/>
      <c r="Q55" s="25">
        <f t="shared" si="9"/>
        <v>7478000</v>
      </c>
      <c r="R55" s="198">
        <v>6515000</v>
      </c>
      <c r="S55" s="25">
        <f t="shared" si="10"/>
        <v>7478000</v>
      </c>
      <c r="T55" s="27">
        <f t="shared" si="64"/>
        <v>8714000</v>
      </c>
      <c r="U55" s="27">
        <f t="shared" si="12"/>
        <v>7478000</v>
      </c>
      <c r="V55" s="27">
        <f t="shared" si="65"/>
        <v>8714000</v>
      </c>
      <c r="W55" s="27">
        <f t="shared" si="66"/>
        <v>8714000</v>
      </c>
      <c r="X55" s="208">
        <v>906</v>
      </c>
      <c r="Y55" s="197"/>
      <c r="Z55" s="198">
        <v>7478000</v>
      </c>
      <c r="AA55" s="197"/>
      <c r="AB55" s="253"/>
      <c r="AC55" s="251">
        <v>7478000</v>
      </c>
      <c r="AD55" s="262">
        <v>8714000</v>
      </c>
      <c r="AE55" s="253"/>
      <c r="AF55" s="253"/>
      <c r="AG55" s="251">
        <v>7478000</v>
      </c>
      <c r="AH55" s="262">
        <v>8714000</v>
      </c>
      <c r="AI55" s="263"/>
      <c r="AJ55" s="262">
        <v>8714000</v>
      </c>
    </row>
    <row r="56" spans="1:36" ht="35.25" customHeight="1" x14ac:dyDescent="0.3">
      <c r="A56" s="171"/>
      <c r="B56" s="165" t="s">
        <v>8</v>
      </c>
      <c r="C56" s="122">
        <v>2</v>
      </c>
      <c r="D56" s="123"/>
      <c r="E56" s="124">
        <v>2000</v>
      </c>
      <c r="F56" s="116">
        <f t="shared" si="15"/>
        <v>2</v>
      </c>
      <c r="G56" s="116">
        <f t="shared" si="16"/>
        <v>0</v>
      </c>
      <c r="H56" s="114">
        <v>2</v>
      </c>
      <c r="I56" s="114">
        <v>2</v>
      </c>
      <c r="J56" s="114">
        <v>2</v>
      </c>
      <c r="K56" s="131">
        <v>2</v>
      </c>
      <c r="L56" s="198">
        <f t="shared" si="62"/>
        <v>2000</v>
      </c>
      <c r="M56" s="198">
        <f t="shared" si="63"/>
        <v>1998</v>
      </c>
      <c r="N56" s="198">
        <v>2</v>
      </c>
      <c r="O56" s="198"/>
      <c r="P56" s="198"/>
      <c r="Q56" s="25">
        <f t="shared" si="9"/>
        <v>2000</v>
      </c>
      <c r="R56" s="198">
        <v>2000</v>
      </c>
      <c r="S56" s="25">
        <f t="shared" si="10"/>
        <v>2000</v>
      </c>
      <c r="T56" s="27">
        <f t="shared" si="64"/>
        <v>2000</v>
      </c>
      <c r="U56" s="27">
        <f t="shared" si="12"/>
        <v>2000</v>
      </c>
      <c r="V56" s="27">
        <f t="shared" si="65"/>
        <v>2000</v>
      </c>
      <c r="W56" s="27">
        <f t="shared" si="66"/>
        <v>2000</v>
      </c>
      <c r="X56" s="208">
        <v>902</v>
      </c>
      <c r="Y56" s="197"/>
      <c r="Z56" s="198">
        <v>2000</v>
      </c>
      <c r="AA56" s="197"/>
      <c r="AB56" s="253"/>
      <c r="AC56" s="251">
        <v>2000</v>
      </c>
      <c r="AD56" s="262">
        <v>2000</v>
      </c>
      <c r="AE56" s="264"/>
      <c r="AF56" s="264"/>
      <c r="AG56" s="262">
        <v>2000</v>
      </c>
      <c r="AH56" s="262">
        <v>2000</v>
      </c>
      <c r="AI56" s="263"/>
      <c r="AJ56" s="262">
        <v>2000</v>
      </c>
    </row>
    <row r="57" spans="1:36" ht="28.5" customHeight="1" x14ac:dyDescent="0.3">
      <c r="A57" s="171"/>
      <c r="B57" s="165" t="s">
        <v>9</v>
      </c>
      <c r="C57" s="122">
        <v>558</v>
      </c>
      <c r="D57" s="123"/>
      <c r="E57" s="124">
        <v>558000</v>
      </c>
      <c r="F57" s="116">
        <f t="shared" si="15"/>
        <v>558</v>
      </c>
      <c r="G57" s="116">
        <f t="shared" si="16"/>
        <v>0</v>
      </c>
      <c r="H57" s="114">
        <v>558</v>
      </c>
      <c r="I57" s="114">
        <v>558</v>
      </c>
      <c r="J57" s="114">
        <v>579</v>
      </c>
      <c r="K57" s="131">
        <v>570</v>
      </c>
      <c r="L57" s="198">
        <f t="shared" si="62"/>
        <v>754000</v>
      </c>
      <c r="M57" s="198">
        <f t="shared" si="63"/>
        <v>753430</v>
      </c>
      <c r="N57" s="198">
        <v>570</v>
      </c>
      <c r="O57" s="198"/>
      <c r="P57" s="198"/>
      <c r="Q57" s="25">
        <f t="shared" si="9"/>
        <v>754000</v>
      </c>
      <c r="R57" s="198">
        <v>641000</v>
      </c>
      <c r="S57" s="25">
        <f t="shared" si="10"/>
        <v>754000</v>
      </c>
      <c r="T57" s="27">
        <f t="shared" si="64"/>
        <v>754000</v>
      </c>
      <c r="U57" s="27">
        <f t="shared" si="12"/>
        <v>754000</v>
      </c>
      <c r="V57" s="27">
        <f t="shared" si="65"/>
        <v>754000</v>
      </c>
      <c r="W57" s="27">
        <f t="shared" si="66"/>
        <v>754000</v>
      </c>
      <c r="X57" s="208">
        <v>902</v>
      </c>
      <c r="Y57" s="197"/>
      <c r="Z57" s="198">
        <v>754000</v>
      </c>
      <c r="AA57" s="197"/>
      <c r="AB57" s="253"/>
      <c r="AC57" s="251">
        <v>754000</v>
      </c>
      <c r="AD57" s="262">
        <v>754000</v>
      </c>
      <c r="AE57" s="262"/>
      <c r="AF57" s="262"/>
      <c r="AG57" s="262">
        <v>754000</v>
      </c>
      <c r="AH57" s="262">
        <v>754000</v>
      </c>
      <c r="AI57" s="263"/>
      <c r="AJ57" s="262">
        <v>754000</v>
      </c>
    </row>
    <row r="58" spans="1:36" ht="48" customHeight="1" x14ac:dyDescent="0.3">
      <c r="A58" s="171"/>
      <c r="B58" s="165" t="s">
        <v>192</v>
      </c>
      <c r="C58" s="122"/>
      <c r="D58" s="123"/>
      <c r="E58" s="124"/>
      <c r="F58" s="116"/>
      <c r="G58" s="116"/>
      <c r="H58" s="114"/>
      <c r="I58" s="114"/>
      <c r="J58" s="114"/>
      <c r="K58" s="131"/>
      <c r="L58" s="198"/>
      <c r="M58" s="198"/>
      <c r="N58" s="198"/>
      <c r="O58" s="198"/>
      <c r="P58" s="198"/>
      <c r="Q58" s="25">
        <f t="shared" si="9"/>
        <v>37000</v>
      </c>
      <c r="R58" s="198"/>
      <c r="S58" s="25">
        <f t="shared" si="10"/>
        <v>37000</v>
      </c>
      <c r="T58" s="27">
        <f t="shared" si="64"/>
        <v>37000</v>
      </c>
      <c r="U58" s="27">
        <f t="shared" si="12"/>
        <v>37000</v>
      </c>
      <c r="V58" s="27">
        <f t="shared" si="65"/>
        <v>37000</v>
      </c>
      <c r="W58" s="27">
        <f t="shared" si="66"/>
        <v>37000</v>
      </c>
      <c r="X58" s="208">
        <v>905</v>
      </c>
      <c r="Y58" s="197"/>
      <c r="Z58" s="198">
        <v>37000</v>
      </c>
      <c r="AA58" s="197"/>
      <c r="AB58" s="253"/>
      <c r="AC58" s="251">
        <v>37000</v>
      </c>
      <c r="AD58" s="262">
        <v>37000</v>
      </c>
      <c r="AE58" s="262"/>
      <c r="AF58" s="262"/>
      <c r="AG58" s="262">
        <v>37000</v>
      </c>
      <c r="AH58" s="262">
        <v>37000</v>
      </c>
      <c r="AI58" s="263"/>
      <c r="AJ58" s="262">
        <v>37000</v>
      </c>
    </row>
    <row r="59" spans="1:36" ht="27.6" customHeight="1" x14ac:dyDescent="0.3">
      <c r="A59" s="171"/>
      <c r="B59" s="30" t="s">
        <v>142</v>
      </c>
      <c r="C59" s="122"/>
      <c r="D59" s="123"/>
      <c r="E59" s="124"/>
      <c r="F59" s="116"/>
      <c r="G59" s="116"/>
      <c r="H59" s="114"/>
      <c r="I59" s="114"/>
      <c r="J59" s="114"/>
      <c r="K59" s="131"/>
      <c r="L59" s="198"/>
      <c r="M59" s="198"/>
      <c r="N59" s="198"/>
      <c r="O59" s="198"/>
      <c r="P59" s="198"/>
      <c r="Q59" s="25">
        <f t="shared" si="9"/>
        <v>1477000</v>
      </c>
      <c r="R59" s="198"/>
      <c r="S59" s="25">
        <f t="shared" si="10"/>
        <v>1495000</v>
      </c>
      <c r="T59" s="27">
        <f t="shared" si="64"/>
        <v>1495000</v>
      </c>
      <c r="U59" s="27">
        <f t="shared" si="12"/>
        <v>1495000</v>
      </c>
      <c r="V59" s="27">
        <f t="shared" si="65"/>
        <v>1495000</v>
      </c>
      <c r="W59" s="27">
        <f t="shared" si="66"/>
        <v>1495000</v>
      </c>
      <c r="X59" s="208">
        <v>902</v>
      </c>
      <c r="Y59" s="197"/>
      <c r="Z59" s="198">
        <v>1477000</v>
      </c>
      <c r="AA59" s="197"/>
      <c r="AB59" s="253"/>
      <c r="AC59" s="251">
        <v>1495000</v>
      </c>
      <c r="AD59" s="263">
        <v>1495000</v>
      </c>
      <c r="AE59" s="263"/>
      <c r="AF59" s="263"/>
      <c r="AG59" s="263">
        <v>1495000</v>
      </c>
      <c r="AH59" s="263">
        <v>1495000</v>
      </c>
      <c r="AI59" s="263"/>
      <c r="AJ59" s="263">
        <v>1495000</v>
      </c>
    </row>
    <row r="60" spans="1:36" ht="24" customHeight="1" x14ac:dyDescent="0.3">
      <c r="A60" s="171"/>
      <c r="B60" s="165" t="s">
        <v>10</v>
      </c>
      <c r="C60" s="122">
        <v>1032</v>
      </c>
      <c r="D60" s="123"/>
      <c r="E60" s="124">
        <v>1032000</v>
      </c>
      <c r="F60" s="116">
        <f t="shared" si="15"/>
        <v>1032</v>
      </c>
      <c r="G60" s="116">
        <f t="shared" si="16"/>
        <v>0</v>
      </c>
      <c r="H60" s="114">
        <v>1037</v>
      </c>
      <c r="I60" s="114">
        <v>1037</v>
      </c>
      <c r="J60" s="114">
        <v>1076</v>
      </c>
      <c r="K60" s="131">
        <v>1054</v>
      </c>
      <c r="L60" s="198">
        <f t="shared" si="62"/>
        <v>0</v>
      </c>
      <c r="M60" s="198">
        <f t="shared" si="63"/>
        <v>-1054</v>
      </c>
      <c r="N60" s="198">
        <v>1054</v>
      </c>
      <c r="O60" s="198"/>
      <c r="P60" s="198"/>
      <c r="Q60" s="25">
        <f t="shared" si="9"/>
        <v>0</v>
      </c>
      <c r="R60" s="198">
        <v>1186000</v>
      </c>
      <c r="S60" s="25">
        <f t="shared" si="10"/>
        <v>0</v>
      </c>
      <c r="T60" s="27">
        <f t="shared" si="64"/>
        <v>0</v>
      </c>
      <c r="U60" s="27">
        <f t="shared" si="12"/>
        <v>0</v>
      </c>
      <c r="V60" s="27">
        <f t="shared" si="65"/>
        <v>0</v>
      </c>
      <c r="W60" s="27">
        <f t="shared" si="66"/>
        <v>0</v>
      </c>
      <c r="X60" s="208">
        <v>902</v>
      </c>
      <c r="Y60" s="197"/>
      <c r="Z60" s="198"/>
      <c r="AA60" s="197"/>
      <c r="AB60" s="253"/>
      <c r="AC60" s="251"/>
      <c r="AD60" s="251"/>
      <c r="AE60" s="253"/>
      <c r="AF60" s="253"/>
      <c r="AG60" s="251"/>
      <c r="AH60" s="251"/>
      <c r="AI60" s="198"/>
      <c r="AJ60" s="251"/>
    </row>
    <row r="61" spans="1:36" ht="34.5" customHeight="1" x14ac:dyDescent="0.3">
      <c r="A61" s="171"/>
      <c r="B61" s="165" t="s">
        <v>11</v>
      </c>
      <c r="C61" s="122">
        <v>542</v>
      </c>
      <c r="D61" s="123"/>
      <c r="E61" s="124">
        <v>542000</v>
      </c>
      <c r="F61" s="116">
        <f t="shared" si="15"/>
        <v>542</v>
      </c>
      <c r="G61" s="116">
        <f t="shared" si="16"/>
        <v>0</v>
      </c>
      <c r="H61" s="114">
        <v>542</v>
      </c>
      <c r="I61" s="114">
        <v>542</v>
      </c>
      <c r="J61" s="114">
        <v>564</v>
      </c>
      <c r="K61" s="131">
        <v>554</v>
      </c>
      <c r="L61" s="198">
        <f t="shared" si="62"/>
        <v>733000</v>
      </c>
      <c r="M61" s="198">
        <f t="shared" si="63"/>
        <v>732446</v>
      </c>
      <c r="N61" s="198">
        <v>554</v>
      </c>
      <c r="O61" s="198"/>
      <c r="P61" s="198"/>
      <c r="Q61" s="25">
        <f t="shared" si="9"/>
        <v>733000</v>
      </c>
      <c r="R61" s="198">
        <v>623000</v>
      </c>
      <c r="S61" s="25">
        <f t="shared" si="10"/>
        <v>733000</v>
      </c>
      <c r="T61" s="27">
        <f t="shared" si="64"/>
        <v>733000</v>
      </c>
      <c r="U61" s="27">
        <f t="shared" si="12"/>
        <v>733000</v>
      </c>
      <c r="V61" s="27">
        <f t="shared" si="65"/>
        <v>733000</v>
      </c>
      <c r="W61" s="27">
        <f t="shared" si="66"/>
        <v>733000</v>
      </c>
      <c r="X61" s="208">
        <v>902</v>
      </c>
      <c r="Y61" s="197"/>
      <c r="Z61" s="198">
        <v>733000</v>
      </c>
      <c r="AA61" s="197"/>
      <c r="AB61" s="253"/>
      <c r="AC61" s="251">
        <v>733000</v>
      </c>
      <c r="AD61" s="262">
        <v>733000</v>
      </c>
      <c r="AE61" s="264"/>
      <c r="AF61" s="264"/>
      <c r="AG61" s="262">
        <v>733000</v>
      </c>
      <c r="AH61" s="262">
        <v>733000</v>
      </c>
      <c r="AI61" s="263"/>
      <c r="AJ61" s="262">
        <v>733000</v>
      </c>
    </row>
    <row r="62" spans="1:36" ht="42" customHeight="1" x14ac:dyDescent="0.3">
      <c r="A62" s="171"/>
      <c r="B62" s="165" t="s">
        <v>12</v>
      </c>
      <c r="C62" s="122">
        <v>762</v>
      </c>
      <c r="D62" s="123"/>
      <c r="E62" s="124">
        <v>762000</v>
      </c>
      <c r="F62" s="116">
        <f t="shared" si="15"/>
        <v>762</v>
      </c>
      <c r="G62" s="116">
        <f t="shared" si="16"/>
        <v>0</v>
      </c>
      <c r="H62" s="114">
        <v>778</v>
      </c>
      <c r="I62" s="114">
        <v>778</v>
      </c>
      <c r="J62" s="114">
        <v>778</v>
      </c>
      <c r="K62" s="131">
        <v>795</v>
      </c>
      <c r="L62" s="198">
        <f t="shared" si="62"/>
        <v>1766000</v>
      </c>
      <c r="M62" s="198">
        <f t="shared" si="63"/>
        <v>1765205</v>
      </c>
      <c r="N62" s="198">
        <v>795</v>
      </c>
      <c r="O62" s="198"/>
      <c r="P62" s="198"/>
      <c r="Q62" s="25">
        <f t="shared" si="9"/>
        <v>1766000</v>
      </c>
      <c r="R62" s="198">
        <v>1160000</v>
      </c>
      <c r="S62" s="25">
        <f t="shared" si="10"/>
        <v>1373000</v>
      </c>
      <c r="T62" s="27">
        <f t="shared" si="64"/>
        <v>1824000</v>
      </c>
      <c r="U62" s="27">
        <f t="shared" si="12"/>
        <v>1373000</v>
      </c>
      <c r="V62" s="27">
        <f t="shared" si="65"/>
        <v>1824000</v>
      </c>
      <c r="W62" s="27">
        <f t="shared" si="66"/>
        <v>1824000</v>
      </c>
      <c r="X62" s="208">
        <v>905</v>
      </c>
      <c r="Y62" s="197"/>
      <c r="Z62" s="198">
        <f>1373000+393000</f>
        <v>1766000</v>
      </c>
      <c r="AA62" s="197"/>
      <c r="AB62" s="253"/>
      <c r="AC62" s="251">
        <v>1373000</v>
      </c>
      <c r="AD62" s="262">
        <v>1824000</v>
      </c>
      <c r="AE62" s="264"/>
      <c r="AF62" s="264"/>
      <c r="AG62" s="262">
        <v>1373000</v>
      </c>
      <c r="AH62" s="262">
        <v>1824000</v>
      </c>
      <c r="AI62" s="263"/>
      <c r="AJ62" s="262">
        <v>1824000</v>
      </c>
    </row>
    <row r="63" spans="1:36" ht="33" customHeight="1" x14ac:dyDescent="0.3">
      <c r="A63" s="171"/>
      <c r="B63" s="165" t="s">
        <v>194</v>
      </c>
      <c r="C63" s="122">
        <v>442</v>
      </c>
      <c r="D63" s="123"/>
      <c r="E63" s="124">
        <v>442000</v>
      </c>
      <c r="F63" s="116">
        <f t="shared" si="15"/>
        <v>442</v>
      </c>
      <c r="G63" s="116">
        <f t="shared" si="16"/>
        <v>0</v>
      </c>
      <c r="H63" s="114">
        <v>508</v>
      </c>
      <c r="I63" s="114">
        <v>518</v>
      </c>
      <c r="J63" s="114">
        <v>508</v>
      </c>
      <c r="K63" s="131">
        <v>1786</v>
      </c>
      <c r="L63" s="198">
        <f t="shared" si="62"/>
        <v>8164000</v>
      </c>
      <c r="M63" s="198">
        <f t="shared" si="63"/>
        <v>8162214</v>
      </c>
      <c r="N63" s="198">
        <v>1854</v>
      </c>
      <c r="O63" s="198"/>
      <c r="P63" s="198"/>
      <c r="Q63" s="25">
        <f t="shared" si="9"/>
        <v>8164000</v>
      </c>
      <c r="R63" s="198">
        <v>1956000</v>
      </c>
      <c r="S63" s="25">
        <f t="shared" si="10"/>
        <v>8515000</v>
      </c>
      <c r="T63" s="27">
        <f t="shared" si="64"/>
        <v>16358000</v>
      </c>
      <c r="U63" s="27">
        <f t="shared" si="12"/>
        <v>8898000</v>
      </c>
      <c r="V63" s="27">
        <f t="shared" si="65"/>
        <v>16973000</v>
      </c>
      <c r="W63" s="27">
        <f t="shared" si="66"/>
        <v>17650000</v>
      </c>
      <c r="X63" s="208">
        <v>905</v>
      </c>
      <c r="Y63" s="197"/>
      <c r="Z63" s="198">
        <v>8164000</v>
      </c>
      <c r="AA63" s="197"/>
      <c r="AB63" s="253"/>
      <c r="AC63" s="251">
        <v>8515000</v>
      </c>
      <c r="AD63" s="262">
        <v>16358000</v>
      </c>
      <c r="AE63" s="264"/>
      <c r="AF63" s="264"/>
      <c r="AG63" s="262">
        <v>8898000</v>
      </c>
      <c r="AH63" s="262">
        <v>16973000</v>
      </c>
      <c r="AI63" s="263"/>
      <c r="AJ63" s="262">
        <v>17650000</v>
      </c>
    </row>
    <row r="64" spans="1:36" ht="39" customHeight="1" x14ac:dyDescent="0.3">
      <c r="A64" s="171" t="s">
        <v>45</v>
      </c>
      <c r="B64" s="145" t="s">
        <v>223</v>
      </c>
      <c r="C64" s="122">
        <v>25623</v>
      </c>
      <c r="D64" s="123"/>
      <c r="E64" s="124">
        <v>25623000</v>
      </c>
      <c r="F64" s="116">
        <f t="shared" si="15"/>
        <v>25623</v>
      </c>
      <c r="G64" s="116">
        <f t="shared" si="16"/>
        <v>0</v>
      </c>
      <c r="H64" s="114">
        <v>24886</v>
      </c>
      <c r="I64" s="114">
        <v>24886</v>
      </c>
      <c r="J64" s="114">
        <v>25882</v>
      </c>
      <c r="K64" s="131">
        <v>27714</v>
      </c>
      <c r="L64" s="198">
        <f t="shared" si="62"/>
        <v>31556000</v>
      </c>
      <c r="M64" s="198">
        <f t="shared" si="63"/>
        <v>31528286</v>
      </c>
      <c r="N64" s="198">
        <v>27714</v>
      </c>
      <c r="O64" s="198"/>
      <c r="P64" s="198"/>
      <c r="Q64" s="25">
        <f t="shared" si="9"/>
        <v>31556000</v>
      </c>
      <c r="R64" s="198">
        <v>28143000</v>
      </c>
      <c r="S64" s="25">
        <f t="shared" si="10"/>
        <v>31556000</v>
      </c>
      <c r="T64" s="27">
        <f t="shared" si="64"/>
        <v>32353000</v>
      </c>
      <c r="U64" s="27">
        <f t="shared" si="12"/>
        <v>31556000</v>
      </c>
      <c r="V64" s="27">
        <f t="shared" si="65"/>
        <v>32353000</v>
      </c>
      <c r="W64" s="27">
        <f t="shared" si="66"/>
        <v>32353000</v>
      </c>
      <c r="X64" s="208">
        <v>906</v>
      </c>
      <c r="Y64" s="197"/>
      <c r="Z64" s="198">
        <v>31556000</v>
      </c>
      <c r="AA64" s="197"/>
      <c r="AB64" s="253"/>
      <c r="AC64" s="251">
        <v>31556000</v>
      </c>
      <c r="AD64" s="262">
        <v>32353000</v>
      </c>
      <c r="AE64" s="253"/>
      <c r="AF64" s="253"/>
      <c r="AG64" s="251">
        <v>31556000</v>
      </c>
      <c r="AH64" s="262">
        <v>32353000</v>
      </c>
      <c r="AI64" s="198"/>
      <c r="AJ64" s="262">
        <v>32353000</v>
      </c>
    </row>
    <row r="65" spans="1:36" ht="53.25" customHeight="1" x14ac:dyDescent="0.3">
      <c r="A65" s="171" t="s">
        <v>46</v>
      </c>
      <c r="B65" s="165" t="s">
        <v>14</v>
      </c>
      <c r="C65" s="122">
        <v>3449</v>
      </c>
      <c r="D65" s="123"/>
      <c r="E65" s="124">
        <v>3449000</v>
      </c>
      <c r="F65" s="116">
        <f t="shared" si="15"/>
        <v>3449</v>
      </c>
      <c r="G65" s="116">
        <f t="shared" si="16"/>
        <v>0</v>
      </c>
      <c r="H65" s="114">
        <v>3673</v>
      </c>
      <c r="I65" s="114">
        <v>3673</v>
      </c>
      <c r="J65" s="114">
        <v>3673</v>
      </c>
      <c r="K65" s="131">
        <v>2329</v>
      </c>
      <c r="L65" s="198">
        <f t="shared" si="62"/>
        <v>4048000</v>
      </c>
      <c r="M65" s="198">
        <f t="shared" si="63"/>
        <v>4045671</v>
      </c>
      <c r="N65" s="198">
        <v>2329</v>
      </c>
      <c r="O65" s="198"/>
      <c r="P65" s="198"/>
      <c r="Q65" s="25">
        <f t="shared" si="9"/>
        <v>4048000</v>
      </c>
      <c r="R65" s="198">
        <v>5387000</v>
      </c>
      <c r="S65" s="25">
        <f t="shared" si="10"/>
        <v>4048000</v>
      </c>
      <c r="T65" s="27">
        <f t="shared" si="64"/>
        <v>2708000</v>
      </c>
      <c r="U65" s="27">
        <f t="shared" si="12"/>
        <v>4048000</v>
      </c>
      <c r="V65" s="27">
        <f t="shared" si="65"/>
        <v>2708000</v>
      </c>
      <c r="W65" s="27">
        <f t="shared" si="66"/>
        <v>2708000</v>
      </c>
      <c r="X65" s="208">
        <v>906</v>
      </c>
      <c r="Y65" s="197"/>
      <c r="Z65" s="198">
        <v>4048000</v>
      </c>
      <c r="AA65" s="197"/>
      <c r="AB65" s="253"/>
      <c r="AC65" s="251">
        <v>4048000</v>
      </c>
      <c r="AD65" s="262">
        <v>2708000</v>
      </c>
      <c r="AE65" s="253"/>
      <c r="AF65" s="253"/>
      <c r="AG65" s="251">
        <v>4048000</v>
      </c>
      <c r="AH65" s="262">
        <v>2708000</v>
      </c>
      <c r="AI65" s="263"/>
      <c r="AJ65" s="262">
        <v>2708000</v>
      </c>
    </row>
    <row r="66" spans="1:36" ht="38.4" customHeight="1" x14ac:dyDescent="0.3">
      <c r="A66" s="171" t="s">
        <v>47</v>
      </c>
      <c r="B66" s="165" t="s">
        <v>15</v>
      </c>
      <c r="C66" s="122">
        <v>5821</v>
      </c>
      <c r="D66" s="123"/>
      <c r="E66" s="124">
        <v>5820994</v>
      </c>
      <c r="F66" s="116">
        <f t="shared" si="15"/>
        <v>5820.9939999999997</v>
      </c>
      <c r="G66" s="116">
        <f t="shared" si="16"/>
        <v>-6.0000000003128662E-3</v>
      </c>
      <c r="H66" s="114">
        <v>3104</v>
      </c>
      <c r="I66" s="114">
        <f>3104+2580</f>
        <v>5684</v>
      </c>
      <c r="J66" s="114">
        <v>3954</v>
      </c>
      <c r="K66" s="131">
        <v>5031</v>
      </c>
      <c r="L66" s="198">
        <f t="shared" si="62"/>
        <v>15914522</v>
      </c>
      <c r="M66" s="198">
        <f t="shared" si="63"/>
        <v>15909491</v>
      </c>
      <c r="N66" s="198">
        <v>4385</v>
      </c>
      <c r="O66" s="198"/>
      <c r="P66" s="198"/>
      <c r="Q66" s="25">
        <f t="shared" si="9"/>
        <v>15914522</v>
      </c>
      <c r="R66" s="198">
        <v>19253400</v>
      </c>
      <c r="S66" s="25">
        <f t="shared" si="10"/>
        <v>60930701</v>
      </c>
      <c r="T66" s="27">
        <f t="shared" si="64"/>
        <v>20036000</v>
      </c>
      <c r="U66" s="27">
        <f t="shared" si="12"/>
        <v>62311914</v>
      </c>
      <c r="V66" s="27">
        <f t="shared" si="65"/>
        <v>25352300</v>
      </c>
      <c r="W66" s="27">
        <f t="shared" si="66"/>
        <v>24249200</v>
      </c>
      <c r="X66" s="208">
        <v>904</v>
      </c>
      <c r="Y66" s="197">
        <v>3710522</v>
      </c>
      <c r="Z66" s="198">
        <v>12204000</v>
      </c>
      <c r="AA66" s="197">
        <v>14205701</v>
      </c>
      <c r="AB66" s="265">
        <v>4501000</v>
      </c>
      <c r="AC66" s="251">
        <v>46725000</v>
      </c>
      <c r="AD66" s="262">
        <f>15535000</f>
        <v>15535000</v>
      </c>
      <c r="AE66" s="253">
        <v>14882914</v>
      </c>
      <c r="AF66" s="265">
        <v>5818300</v>
      </c>
      <c r="AG66" s="262">
        <v>47429000</v>
      </c>
      <c r="AH66" s="262">
        <f>19534000</f>
        <v>19534000</v>
      </c>
      <c r="AI66" s="73">
        <v>5454200</v>
      </c>
      <c r="AJ66" s="262">
        <f>18795000</f>
        <v>18795000</v>
      </c>
    </row>
    <row r="67" spans="1:36" ht="38.4" customHeight="1" x14ac:dyDescent="0.3">
      <c r="A67" s="202" t="s">
        <v>160</v>
      </c>
      <c r="B67" s="165" t="s">
        <v>161</v>
      </c>
      <c r="C67" s="122"/>
      <c r="D67" s="123"/>
      <c r="E67" s="124"/>
      <c r="F67" s="116"/>
      <c r="G67" s="116"/>
      <c r="H67" s="114"/>
      <c r="I67" s="114"/>
      <c r="J67" s="114"/>
      <c r="K67" s="131"/>
      <c r="L67" s="198"/>
      <c r="M67" s="198"/>
      <c r="N67" s="198"/>
      <c r="O67" s="198"/>
      <c r="P67" s="198"/>
      <c r="Q67" s="25">
        <f t="shared" si="9"/>
        <v>4100</v>
      </c>
      <c r="R67" s="198">
        <v>101000</v>
      </c>
      <c r="S67" s="25">
        <f t="shared" si="10"/>
        <v>4300</v>
      </c>
      <c r="T67" s="27">
        <f t="shared" si="64"/>
        <v>14100</v>
      </c>
      <c r="U67" s="27">
        <f t="shared" si="12"/>
        <v>3900</v>
      </c>
      <c r="V67" s="27">
        <f t="shared" si="65"/>
        <v>14700</v>
      </c>
      <c r="W67" s="27">
        <f t="shared" si="66"/>
        <v>259300</v>
      </c>
      <c r="X67" s="208">
        <v>902</v>
      </c>
      <c r="Y67" s="197">
        <v>4100</v>
      </c>
      <c r="Z67" s="198"/>
      <c r="AA67" s="197">
        <v>4300</v>
      </c>
      <c r="AB67" s="264"/>
      <c r="AC67" s="262"/>
      <c r="AD67" s="262">
        <v>14100</v>
      </c>
      <c r="AE67" s="264">
        <v>3900</v>
      </c>
      <c r="AF67" s="264"/>
      <c r="AG67" s="262"/>
      <c r="AH67" s="262">
        <v>14700</v>
      </c>
      <c r="AI67" s="263"/>
      <c r="AJ67" s="262">
        <v>259300</v>
      </c>
    </row>
    <row r="68" spans="1:36" ht="23.4" customHeight="1" x14ac:dyDescent="0.3">
      <c r="A68" s="171" t="s">
        <v>48</v>
      </c>
      <c r="B68" s="165" t="s">
        <v>16</v>
      </c>
      <c r="C68" s="122">
        <v>145</v>
      </c>
      <c r="D68" s="123"/>
      <c r="E68" s="124">
        <v>145000</v>
      </c>
      <c r="F68" s="116">
        <f t="shared" si="15"/>
        <v>145</v>
      </c>
      <c r="G68" s="116">
        <f t="shared" si="16"/>
        <v>0</v>
      </c>
      <c r="H68" s="114">
        <v>110</v>
      </c>
      <c r="I68" s="114">
        <v>110</v>
      </c>
      <c r="J68" s="114">
        <v>110</v>
      </c>
      <c r="K68" s="131">
        <v>111</v>
      </c>
      <c r="L68" s="198">
        <f t="shared" si="62"/>
        <v>92000</v>
      </c>
      <c r="M68" s="198">
        <f t="shared" si="63"/>
        <v>91889</v>
      </c>
      <c r="N68" s="198">
        <v>111</v>
      </c>
      <c r="O68" s="198"/>
      <c r="P68" s="198"/>
      <c r="Q68" s="25">
        <f t="shared" si="9"/>
        <v>92000</v>
      </c>
      <c r="R68" s="198">
        <v>0</v>
      </c>
      <c r="S68" s="25">
        <f t="shared" si="10"/>
        <v>92000</v>
      </c>
      <c r="T68" s="27">
        <f t="shared" si="64"/>
        <v>92000</v>
      </c>
      <c r="U68" s="27">
        <f t="shared" si="12"/>
        <v>92000</v>
      </c>
      <c r="V68" s="27">
        <f t="shared" si="65"/>
        <v>92000</v>
      </c>
      <c r="W68" s="27">
        <f t="shared" si="66"/>
        <v>92000</v>
      </c>
      <c r="X68" s="208">
        <v>907</v>
      </c>
      <c r="Y68" s="197"/>
      <c r="Z68" s="198">
        <v>92000</v>
      </c>
      <c r="AA68" s="197"/>
      <c r="AB68" s="253"/>
      <c r="AC68" s="251">
        <v>92000</v>
      </c>
      <c r="AD68" s="262">
        <v>92000</v>
      </c>
      <c r="AE68" s="264"/>
      <c r="AF68" s="264"/>
      <c r="AG68" s="262">
        <v>92000</v>
      </c>
      <c r="AH68" s="262">
        <v>92000</v>
      </c>
      <c r="AI68" s="263"/>
      <c r="AJ68" s="262">
        <v>92000</v>
      </c>
    </row>
    <row r="69" spans="1:36" ht="24.6" x14ac:dyDescent="0.3">
      <c r="A69" s="126" t="s">
        <v>65</v>
      </c>
      <c r="B69" s="127" t="s">
        <v>87</v>
      </c>
      <c r="C69" s="123"/>
      <c r="D69" s="123"/>
      <c r="E69" s="124"/>
      <c r="F69" s="116">
        <f t="shared" si="15"/>
        <v>0</v>
      </c>
      <c r="G69" s="116">
        <f t="shared" si="16"/>
        <v>0</v>
      </c>
      <c r="H69" s="114"/>
      <c r="I69" s="114">
        <v>962</v>
      </c>
      <c r="J69" s="114"/>
      <c r="K69" s="131">
        <v>0</v>
      </c>
      <c r="L69" s="198">
        <f t="shared" si="62"/>
        <v>0</v>
      </c>
      <c r="M69" s="198">
        <f t="shared" si="63"/>
        <v>0</v>
      </c>
      <c r="N69" s="198">
        <v>0</v>
      </c>
      <c r="O69" s="198"/>
      <c r="P69" s="198"/>
      <c r="Q69" s="25">
        <f t="shared" si="9"/>
        <v>0</v>
      </c>
      <c r="R69" s="198">
        <v>37303000</v>
      </c>
      <c r="S69" s="25">
        <f t="shared" si="10"/>
        <v>0</v>
      </c>
      <c r="T69" s="251"/>
      <c r="U69" s="27">
        <f t="shared" si="12"/>
        <v>0</v>
      </c>
      <c r="V69" s="27"/>
      <c r="W69" s="27"/>
      <c r="X69" s="208" t="s">
        <v>61</v>
      </c>
      <c r="Y69" s="197"/>
      <c r="Z69" s="198"/>
      <c r="AA69" s="197"/>
      <c r="AB69" s="253"/>
      <c r="AC69" s="251"/>
      <c r="AD69" s="251"/>
      <c r="AE69" s="253"/>
      <c r="AF69" s="253"/>
      <c r="AG69" s="251"/>
      <c r="AH69" s="251"/>
      <c r="AI69" s="198"/>
      <c r="AJ69" s="251"/>
    </row>
    <row r="70" spans="1:36" ht="16.5" customHeight="1" x14ac:dyDescent="0.3">
      <c r="A70" s="215" t="s">
        <v>128</v>
      </c>
      <c r="B70" s="139" t="s">
        <v>127</v>
      </c>
      <c r="C70" s="230"/>
      <c r="D70" s="230"/>
      <c r="E70" s="231"/>
      <c r="F70" s="229"/>
      <c r="G70" s="229"/>
      <c r="H70" s="232"/>
      <c r="I70" s="232"/>
      <c r="J70" s="232"/>
      <c r="K70" s="233"/>
      <c r="L70" s="225">
        <f t="shared" si="62"/>
        <v>39812696.810000002</v>
      </c>
      <c r="M70" s="234"/>
      <c r="N70" s="234"/>
      <c r="O70" s="234"/>
      <c r="P70" s="234"/>
      <c r="Q70" s="24">
        <f>SUM(Q71:Q73)</f>
        <v>39812696.810000002</v>
      </c>
      <c r="R70" s="24">
        <f t="shared" ref="R70:AG70" si="67">SUM(R71:R73)</f>
        <v>0</v>
      </c>
      <c r="S70" s="24">
        <f t="shared" si="67"/>
        <v>39000000</v>
      </c>
      <c r="T70" s="26">
        <f t="shared" si="67"/>
        <v>37748000</v>
      </c>
      <c r="U70" s="26">
        <f t="shared" si="67"/>
        <v>39000000</v>
      </c>
      <c r="V70" s="26">
        <f t="shared" si="67"/>
        <v>37498000</v>
      </c>
      <c r="W70" s="26">
        <f t="shared" si="67"/>
        <v>37498000</v>
      </c>
      <c r="X70" s="24"/>
      <c r="Y70" s="24">
        <f t="shared" si="67"/>
        <v>39454069.840000004</v>
      </c>
      <c r="Z70" s="24">
        <f t="shared" si="67"/>
        <v>358626.97</v>
      </c>
      <c r="AA70" s="24">
        <f t="shared" si="67"/>
        <v>39000000</v>
      </c>
      <c r="AB70" s="26">
        <f t="shared" ref="AB70" si="68">SUM(AB71:AB73)</f>
        <v>37748000</v>
      </c>
      <c r="AC70" s="26">
        <f t="shared" si="67"/>
        <v>0</v>
      </c>
      <c r="AD70" s="26">
        <f t="shared" ref="AD70" si="69">SUM(AD71:AD73)</f>
        <v>0</v>
      </c>
      <c r="AE70" s="26">
        <f t="shared" si="67"/>
        <v>39000000</v>
      </c>
      <c r="AF70" s="26">
        <f t="shared" ref="AF70" si="70">SUM(AF71:AF73)</f>
        <v>37498000</v>
      </c>
      <c r="AG70" s="26">
        <f t="shared" si="67"/>
        <v>0</v>
      </c>
      <c r="AH70" s="26">
        <f t="shared" ref="AH70:AI70" si="71">SUM(AH71:AH73)</f>
        <v>0</v>
      </c>
      <c r="AI70" s="24">
        <f t="shared" si="71"/>
        <v>37498000</v>
      </c>
      <c r="AJ70" s="26">
        <f t="shared" ref="AJ70" si="72">SUM(AJ71:AJ73)</f>
        <v>0</v>
      </c>
    </row>
    <row r="71" spans="1:36" ht="84.6" x14ac:dyDescent="0.3">
      <c r="A71" s="216" t="s">
        <v>114</v>
      </c>
      <c r="B71" s="259" t="s">
        <v>224</v>
      </c>
      <c r="C71" s="123"/>
      <c r="D71" s="123"/>
      <c r="E71" s="124"/>
      <c r="F71" s="116"/>
      <c r="G71" s="116"/>
      <c r="H71" s="114"/>
      <c r="I71" s="114"/>
      <c r="J71" s="114"/>
      <c r="K71" s="131"/>
      <c r="L71" s="198">
        <f t="shared" si="62"/>
        <v>38600000</v>
      </c>
      <c r="M71" s="154"/>
      <c r="N71" s="154"/>
      <c r="O71" s="154"/>
      <c r="P71" s="154"/>
      <c r="Q71" s="25">
        <f>Y71+Z71</f>
        <v>38600000</v>
      </c>
      <c r="R71" s="198"/>
      <c r="S71" s="25">
        <f t="shared" si="10"/>
        <v>39000000</v>
      </c>
      <c r="T71" s="27">
        <f t="shared" ref="T71:T73" si="73">AB71+AD71</f>
        <v>37748000</v>
      </c>
      <c r="U71" s="27">
        <f t="shared" si="12"/>
        <v>39000000</v>
      </c>
      <c r="V71" s="27">
        <f t="shared" ref="V71:V73" si="74">AF71+AH71</f>
        <v>37498000</v>
      </c>
      <c r="W71" s="27">
        <f t="shared" ref="W71:W73" si="75">AI71+AJ71</f>
        <v>37498000</v>
      </c>
      <c r="X71" s="208">
        <v>906</v>
      </c>
      <c r="Y71" s="203">
        <v>38600000</v>
      </c>
      <c r="Z71" s="198"/>
      <c r="AA71" s="203">
        <v>39000000</v>
      </c>
      <c r="AB71" s="267">
        <v>37748000</v>
      </c>
      <c r="AC71" s="262"/>
      <c r="AD71" s="262"/>
      <c r="AE71" s="267">
        <v>39000000</v>
      </c>
      <c r="AF71" s="267">
        <v>37498000</v>
      </c>
      <c r="AG71" s="262"/>
      <c r="AH71" s="262"/>
      <c r="AI71" s="263">
        <v>37498000</v>
      </c>
      <c r="AJ71" s="262"/>
    </row>
    <row r="72" spans="1:36" ht="52.95" customHeight="1" x14ac:dyDescent="0.3">
      <c r="A72" s="237" t="s">
        <v>199</v>
      </c>
      <c r="B72" s="238" t="s">
        <v>200</v>
      </c>
      <c r="C72" s="239"/>
      <c r="D72" s="239"/>
      <c r="E72" s="240"/>
      <c r="F72" s="116">
        <f t="shared" si="15"/>
        <v>0</v>
      </c>
      <c r="G72" s="116">
        <f t="shared" si="16"/>
        <v>0</v>
      </c>
      <c r="H72" s="241"/>
      <c r="I72" s="241"/>
      <c r="J72" s="241"/>
      <c r="K72" s="241">
        <v>1000</v>
      </c>
      <c r="L72" s="242">
        <f t="shared" si="62"/>
        <v>862696.80999999994</v>
      </c>
      <c r="M72" s="242">
        <f t="shared" si="63"/>
        <v>861696.80999999994</v>
      </c>
      <c r="N72" s="242">
        <v>0</v>
      </c>
      <c r="O72" s="242"/>
      <c r="P72" s="242"/>
      <c r="Q72" s="25">
        <f t="shared" si="9"/>
        <v>862696.80999999994</v>
      </c>
      <c r="R72" s="242"/>
      <c r="S72" s="243">
        <f t="shared" si="10"/>
        <v>0</v>
      </c>
      <c r="T72" s="27">
        <f t="shared" si="73"/>
        <v>0</v>
      </c>
      <c r="U72" s="285">
        <f t="shared" si="12"/>
        <v>0</v>
      </c>
      <c r="V72" s="27">
        <f t="shared" si="74"/>
        <v>0</v>
      </c>
      <c r="W72" s="27">
        <f t="shared" si="75"/>
        <v>0</v>
      </c>
      <c r="X72" s="245">
        <v>906</v>
      </c>
      <c r="Y72" s="246">
        <v>854069.84</v>
      </c>
      <c r="Z72" s="246">
        <v>8626.9699999999993</v>
      </c>
      <c r="AA72" s="246"/>
      <c r="AB72" s="252"/>
      <c r="AC72" s="252"/>
      <c r="AD72" s="252"/>
      <c r="AE72" s="252"/>
      <c r="AF72" s="252"/>
      <c r="AG72" s="252"/>
      <c r="AH72" s="252"/>
      <c r="AI72" s="246"/>
      <c r="AJ72" s="252"/>
    </row>
    <row r="73" spans="1:36" ht="24" x14ac:dyDescent="0.3">
      <c r="A73" s="171" t="s">
        <v>49</v>
      </c>
      <c r="B73" s="30" t="s">
        <v>18</v>
      </c>
      <c r="C73" s="123">
        <f>180+360</f>
        <v>540</v>
      </c>
      <c r="D73" s="123">
        <v>360</v>
      </c>
      <c r="E73" s="124">
        <f>180000+360000</f>
        <v>540000</v>
      </c>
      <c r="F73" s="197">
        <f t="shared" si="15"/>
        <v>540</v>
      </c>
      <c r="G73" s="197">
        <f t="shared" si="16"/>
        <v>0</v>
      </c>
      <c r="H73" s="114"/>
      <c r="I73" s="114"/>
      <c r="J73" s="114"/>
      <c r="K73" s="114"/>
      <c r="L73" s="198"/>
      <c r="M73" s="198"/>
      <c r="N73" s="198"/>
      <c r="O73" s="198"/>
      <c r="P73" s="198"/>
      <c r="Q73" s="25">
        <f t="shared" si="9"/>
        <v>350000</v>
      </c>
      <c r="R73" s="198"/>
      <c r="S73" s="25">
        <f t="shared" si="10"/>
        <v>0</v>
      </c>
      <c r="T73" s="27">
        <f t="shared" si="73"/>
        <v>0</v>
      </c>
      <c r="U73" s="27">
        <f t="shared" si="12"/>
        <v>0</v>
      </c>
      <c r="V73" s="27">
        <f t="shared" si="74"/>
        <v>0</v>
      </c>
      <c r="W73" s="27">
        <f t="shared" si="75"/>
        <v>0</v>
      </c>
      <c r="X73" s="208">
        <v>902</v>
      </c>
      <c r="Y73" s="197"/>
      <c r="Z73" s="197">
        <v>350000</v>
      </c>
      <c r="AA73" s="197"/>
      <c r="AB73" s="253"/>
      <c r="AC73" s="253"/>
      <c r="AD73" s="253"/>
      <c r="AE73" s="253"/>
      <c r="AF73" s="253"/>
      <c r="AG73" s="253"/>
      <c r="AH73" s="253"/>
      <c r="AI73" s="197"/>
      <c r="AJ73" s="253"/>
    </row>
    <row r="74" spans="1:36" ht="26.4" x14ac:dyDescent="0.3">
      <c r="A74" s="235" t="s">
        <v>55</v>
      </c>
      <c r="B74" s="236" t="s">
        <v>56</v>
      </c>
      <c r="C74" s="230"/>
      <c r="D74" s="230"/>
      <c r="E74" s="231"/>
      <c r="F74" s="207"/>
      <c r="G74" s="207"/>
      <c r="H74" s="232"/>
      <c r="I74" s="232"/>
      <c r="J74" s="232"/>
      <c r="K74" s="232"/>
      <c r="L74" s="225"/>
      <c r="M74" s="225"/>
      <c r="N74" s="225"/>
      <c r="O74" s="225"/>
      <c r="P74" s="225"/>
      <c r="Q74" s="24">
        <f>SUM(Q75:Q76)</f>
        <v>31335375.75</v>
      </c>
      <c r="R74" s="24">
        <f t="shared" ref="R74:AG74" si="76">SUM(R75:R76)</f>
        <v>0</v>
      </c>
      <c r="S74" s="24">
        <f t="shared" si="76"/>
        <v>0</v>
      </c>
      <c r="T74" s="26">
        <f t="shared" si="76"/>
        <v>0</v>
      </c>
      <c r="U74" s="26">
        <f t="shared" si="76"/>
        <v>0</v>
      </c>
      <c r="V74" s="26"/>
      <c r="W74" s="26"/>
      <c r="X74" s="24"/>
      <c r="Y74" s="24">
        <f t="shared" si="76"/>
        <v>0</v>
      </c>
      <c r="Z74" s="24">
        <f t="shared" si="76"/>
        <v>0</v>
      </c>
      <c r="AA74" s="24">
        <f t="shared" si="76"/>
        <v>0</v>
      </c>
      <c r="AB74" s="26">
        <f t="shared" ref="AB74" si="77">SUM(AB75:AB76)</f>
        <v>0</v>
      </c>
      <c r="AC74" s="26">
        <f t="shared" si="76"/>
        <v>0</v>
      </c>
      <c r="AD74" s="26">
        <f t="shared" ref="AD74" si="78">SUM(AD75:AD76)</f>
        <v>0</v>
      </c>
      <c r="AE74" s="26">
        <f t="shared" si="76"/>
        <v>0</v>
      </c>
      <c r="AF74" s="26">
        <f t="shared" ref="AF74" si="79">SUM(AF75:AF76)</f>
        <v>0</v>
      </c>
      <c r="AG74" s="26">
        <f t="shared" si="76"/>
        <v>0</v>
      </c>
      <c r="AH74" s="26">
        <f t="shared" ref="AH74:AI74" si="80">SUM(AH75:AH76)</f>
        <v>0</v>
      </c>
      <c r="AI74" s="24">
        <f t="shared" si="80"/>
        <v>0</v>
      </c>
      <c r="AJ74" s="26">
        <f t="shared" ref="AJ74" si="81">SUM(AJ75:AJ76)</f>
        <v>0</v>
      </c>
    </row>
    <row r="75" spans="1:36" ht="26.4" x14ac:dyDescent="0.3">
      <c r="A75" s="115" t="s">
        <v>55</v>
      </c>
      <c r="B75" s="117" t="s">
        <v>56</v>
      </c>
      <c r="C75" s="123"/>
      <c r="D75" s="123"/>
      <c r="E75" s="124"/>
      <c r="F75" s="197"/>
      <c r="G75" s="197"/>
      <c r="H75" s="114"/>
      <c r="I75" s="114"/>
      <c r="J75" s="114"/>
      <c r="K75" s="114"/>
      <c r="L75" s="198"/>
      <c r="M75" s="198"/>
      <c r="N75" s="198"/>
      <c r="O75" s="198"/>
      <c r="P75" s="198"/>
      <c r="Q75" s="25">
        <f>7334375.75+1000</f>
        <v>7335375.75</v>
      </c>
      <c r="R75" s="198"/>
      <c r="S75" s="25"/>
      <c r="T75" s="251"/>
      <c r="U75" s="27"/>
      <c r="V75" s="27"/>
      <c r="W75" s="27"/>
      <c r="X75" s="208">
        <v>905</v>
      </c>
      <c r="Y75" s="197"/>
      <c r="Z75" s="197"/>
      <c r="AA75" s="197"/>
      <c r="AB75" s="253"/>
      <c r="AC75" s="253"/>
      <c r="AD75" s="253"/>
      <c r="AE75" s="253"/>
      <c r="AF75" s="253"/>
      <c r="AG75" s="253"/>
      <c r="AH75" s="253"/>
      <c r="AI75" s="197"/>
      <c r="AJ75" s="253"/>
    </row>
    <row r="76" spans="1:36" ht="16.95" customHeight="1" x14ac:dyDescent="0.3">
      <c r="A76" s="115" t="s">
        <v>55</v>
      </c>
      <c r="B76" s="117" t="s">
        <v>56</v>
      </c>
      <c r="C76" s="217">
        <f>3208.7+534.9</f>
        <v>3743.6</v>
      </c>
      <c r="D76" s="218"/>
      <c r="E76" s="219">
        <f>3208759+534875</f>
        <v>3743634</v>
      </c>
      <c r="F76" s="197">
        <f>E76/1000</f>
        <v>3743.634</v>
      </c>
      <c r="G76" s="197">
        <f>F76-C76</f>
        <v>3.4000000000105501E-2</v>
      </c>
      <c r="H76" s="114"/>
      <c r="I76" s="114"/>
      <c r="J76" s="114"/>
      <c r="K76" s="114"/>
      <c r="L76" s="198">
        <v>124000</v>
      </c>
      <c r="M76" s="198"/>
      <c r="N76" s="198"/>
      <c r="O76" s="198"/>
      <c r="P76" s="198"/>
      <c r="Q76" s="198">
        <v>24000000</v>
      </c>
      <c r="R76" s="198"/>
      <c r="S76" s="25">
        <f t="shared" si="10"/>
        <v>0</v>
      </c>
      <c r="T76" s="251"/>
      <c r="U76" s="27">
        <f t="shared" si="12"/>
        <v>0</v>
      </c>
      <c r="V76" s="27"/>
      <c r="W76" s="27"/>
      <c r="X76" s="208">
        <v>906</v>
      </c>
      <c r="Y76" s="197"/>
      <c r="Z76" s="197"/>
      <c r="AA76" s="197"/>
      <c r="AB76" s="253"/>
      <c r="AC76" s="253"/>
      <c r="AD76" s="253"/>
      <c r="AE76" s="253"/>
      <c r="AF76" s="253"/>
      <c r="AG76" s="253"/>
      <c r="AH76" s="253"/>
      <c r="AI76" s="197"/>
      <c r="AJ76" s="253"/>
    </row>
    <row r="77" spans="1:36" x14ac:dyDescent="0.3">
      <c r="C77" s="211">
        <f>C6</f>
        <v>864721.7</v>
      </c>
      <c r="D77" s="211">
        <f>D6</f>
        <v>360</v>
      </c>
      <c r="E77" s="211">
        <f>E6</f>
        <v>864721718.66999996</v>
      </c>
      <c r="F77" s="211">
        <f>F6</f>
        <v>832206.21461999987</v>
      </c>
      <c r="G77" s="211">
        <f>G6</f>
        <v>0.11462000000285499</v>
      </c>
      <c r="H77" s="212"/>
      <c r="I77" s="212"/>
      <c r="J77" s="212"/>
      <c r="K77" s="212"/>
      <c r="L77" s="212"/>
      <c r="M77" s="212"/>
      <c r="N77" s="212"/>
      <c r="O77" s="212"/>
      <c r="P77" s="212"/>
      <c r="Q77" s="212"/>
      <c r="R77" s="212"/>
      <c r="S77" s="212"/>
      <c r="T77" s="255"/>
      <c r="U77" s="255"/>
      <c r="V77" s="255"/>
      <c r="W77" s="255"/>
      <c r="X77" s="116"/>
      <c r="Y77" s="116"/>
      <c r="Z77" s="116"/>
      <c r="AA77" s="116"/>
      <c r="AB77" s="254"/>
      <c r="AC77" s="254"/>
      <c r="AD77" s="254"/>
      <c r="AE77" s="254"/>
      <c r="AF77" s="254"/>
      <c r="AG77" s="254"/>
      <c r="AH77" s="254"/>
      <c r="AI77" s="116"/>
      <c r="AJ77" s="254"/>
    </row>
    <row r="78" spans="1:36" x14ac:dyDescent="0.3">
      <c r="C78" s="116">
        <f>C6-C77</f>
        <v>0</v>
      </c>
      <c r="D78" s="116">
        <f>D6-D77</f>
        <v>0</v>
      </c>
      <c r="E78" s="116">
        <f>E6-E77</f>
        <v>0</v>
      </c>
      <c r="H78" s="212"/>
      <c r="I78" s="212"/>
      <c r="J78" s="212"/>
      <c r="K78" s="212"/>
      <c r="L78" s="212"/>
      <c r="M78" s="212"/>
      <c r="N78" s="212"/>
      <c r="O78" s="212"/>
      <c r="P78" s="212"/>
      <c r="Q78" s="212"/>
      <c r="R78" s="212"/>
      <c r="S78" s="212"/>
      <c r="T78" s="255"/>
      <c r="U78" s="255"/>
      <c r="V78" s="255"/>
      <c r="W78" s="255"/>
      <c r="X78" s="254"/>
      <c r="Y78" s="116"/>
      <c r="Z78" s="116"/>
      <c r="AA78" s="116"/>
      <c r="AB78" s="254"/>
      <c r="AC78" s="254"/>
      <c r="AD78" s="254"/>
      <c r="AE78" s="254"/>
      <c r="AF78" s="254"/>
      <c r="AG78" s="254"/>
      <c r="AH78" s="254"/>
      <c r="AI78" s="254"/>
      <c r="AJ78" s="254"/>
    </row>
    <row r="79" spans="1:36" x14ac:dyDescent="0.3">
      <c r="A79" s="192" t="s">
        <v>137</v>
      </c>
      <c r="C79" s="116"/>
      <c r="D79" s="116"/>
      <c r="E79" s="116"/>
      <c r="H79" s="212">
        <v>0</v>
      </c>
      <c r="I79" s="212">
        <v>1</v>
      </c>
      <c r="J79" s="212"/>
      <c r="K79" s="212"/>
      <c r="L79" s="212">
        <f>L7</f>
        <v>28719000</v>
      </c>
      <c r="M79" s="212">
        <f>M7</f>
        <v>21255000</v>
      </c>
      <c r="N79" s="212">
        <f>N7</f>
        <v>0</v>
      </c>
      <c r="O79" s="212">
        <f>O7</f>
        <v>0</v>
      </c>
      <c r="P79" s="255">
        <f t="shared" ref="P79:AI79" si="82">P10+P11+P8</f>
        <v>0</v>
      </c>
      <c r="Q79" s="255">
        <f t="shared" si="82"/>
        <v>21255000</v>
      </c>
      <c r="R79" s="255">
        <f t="shared" si="82"/>
        <v>0</v>
      </c>
      <c r="S79" s="255">
        <f t="shared" si="82"/>
        <v>0</v>
      </c>
      <c r="T79" s="255">
        <f t="shared" si="82"/>
        <v>62307000</v>
      </c>
      <c r="U79" s="255">
        <f t="shared" si="82"/>
        <v>0</v>
      </c>
      <c r="V79" s="255">
        <f t="shared" si="82"/>
        <v>4387000</v>
      </c>
      <c r="W79" s="255">
        <f t="shared" si="82"/>
        <v>0</v>
      </c>
      <c r="X79" s="255"/>
      <c r="Y79" s="255">
        <f t="shared" si="82"/>
        <v>0</v>
      </c>
      <c r="Z79" s="255">
        <f t="shared" si="82"/>
        <v>21255000</v>
      </c>
      <c r="AA79" s="255">
        <f t="shared" si="82"/>
        <v>0</v>
      </c>
      <c r="AB79" s="255">
        <f t="shared" si="82"/>
        <v>0</v>
      </c>
      <c r="AC79" s="255">
        <f t="shared" si="82"/>
        <v>0</v>
      </c>
      <c r="AD79" s="255">
        <f t="shared" si="82"/>
        <v>62307000</v>
      </c>
      <c r="AE79" s="255">
        <f t="shared" si="82"/>
        <v>0</v>
      </c>
      <c r="AF79" s="255">
        <f t="shared" si="82"/>
        <v>0</v>
      </c>
      <c r="AG79" s="255">
        <f t="shared" si="82"/>
        <v>0</v>
      </c>
      <c r="AH79" s="255">
        <f>AH10+AH11+AH8</f>
        <v>4387000</v>
      </c>
      <c r="AI79" s="255">
        <f t="shared" si="82"/>
        <v>0</v>
      </c>
      <c r="AJ79" s="255">
        <f t="shared" ref="AJ79" si="83">AJ10+AJ11+AJ8</f>
        <v>0</v>
      </c>
    </row>
    <row r="80" spans="1:36" x14ac:dyDescent="0.3">
      <c r="A80" s="192" t="s">
        <v>61</v>
      </c>
      <c r="C80" s="116"/>
      <c r="D80" s="116"/>
      <c r="E80" s="116"/>
      <c r="H80" s="212">
        <f>H28+H26+H38+H39+H40+H56+H57+H60+H61+H69+H7</f>
        <v>3325</v>
      </c>
      <c r="I80" s="212">
        <f>I28+I26+I38+I39+I40+I56+I57+I60+I61+I69+I7</f>
        <v>13244</v>
      </c>
      <c r="J80" s="212">
        <f>J28+J26+J38+J39+J40+J56+J57+J60+J61+J69+J7</f>
        <v>2221</v>
      </c>
      <c r="K80" s="212">
        <f>K28+K26+K38+K39+K40+K56+K57+K60+K61+K69+K7</f>
        <v>12180</v>
      </c>
      <c r="L80" s="212">
        <f>L28+L26+L38+L39+L40+L56+L57+L60+L61+L69+L59</f>
        <v>5831614.9000000004</v>
      </c>
      <c r="M80" s="212">
        <f>M28+M26+M38+M39+M40+M56+M57+M60+M61+M69+M59</f>
        <v>5819434.9000000004</v>
      </c>
      <c r="N80" s="212">
        <f>N28+N26+N38+N39+N40+N56+N57+N60+N61+N69+N59</f>
        <v>2180</v>
      </c>
      <c r="O80" s="212">
        <f>O28+O26+O38+O39+O40+O56+O57+O60+O61+O69+O59</f>
        <v>0</v>
      </c>
      <c r="P80" s="255">
        <f t="shared" ref="P80:AI80" si="84">P26+P39+P40+P56+P59+P61+P67+P38+P57+P73</f>
        <v>0</v>
      </c>
      <c r="Q80" s="255">
        <f t="shared" si="84"/>
        <v>7662714.9000000004</v>
      </c>
      <c r="R80" s="255">
        <f t="shared" si="84"/>
        <v>3416921.05</v>
      </c>
      <c r="S80" s="255">
        <f t="shared" si="84"/>
        <v>5666928.8399999999</v>
      </c>
      <c r="T80" s="255">
        <f t="shared" si="84"/>
        <v>5758843</v>
      </c>
      <c r="U80" s="255">
        <f t="shared" si="84"/>
        <v>5999539.54</v>
      </c>
      <c r="V80" s="255">
        <f t="shared" si="84"/>
        <v>6350069.5099999998</v>
      </c>
      <c r="W80" s="255">
        <f t="shared" si="84"/>
        <v>5555896.0499999998</v>
      </c>
      <c r="X80" s="255"/>
      <c r="Y80" s="255">
        <f t="shared" si="84"/>
        <v>3270416.61</v>
      </c>
      <c r="Z80" s="255">
        <f t="shared" si="84"/>
        <v>4392298.29</v>
      </c>
      <c r="AA80" s="255">
        <f t="shared" si="84"/>
        <v>1838758.69</v>
      </c>
      <c r="AB80" s="255">
        <f t="shared" si="84"/>
        <v>1736417.57</v>
      </c>
      <c r="AC80" s="255">
        <f t="shared" si="84"/>
        <v>3828170.15</v>
      </c>
      <c r="AD80" s="255">
        <f t="shared" si="84"/>
        <v>4022425.4299999997</v>
      </c>
      <c r="AE80" s="255">
        <f t="shared" si="84"/>
        <v>2138015.89</v>
      </c>
      <c r="AF80" s="255">
        <f t="shared" si="84"/>
        <v>2315980.09</v>
      </c>
      <c r="AG80" s="255">
        <f t="shared" si="84"/>
        <v>3861523.65</v>
      </c>
      <c r="AH80" s="255">
        <f>AH26+AH39+AH40+AH56+AH59+AH61+AH67+AH38+AH57+AH73</f>
        <v>4034089.42</v>
      </c>
      <c r="AI80" s="255">
        <f t="shared" si="84"/>
        <v>1397612.55</v>
      </c>
      <c r="AJ80" s="255">
        <f>AJ26+AJ39+AJ40+AJ56+AJ59+AJ61+AJ67+AJ38+AJ57+AJ73</f>
        <v>4158283.5</v>
      </c>
    </row>
    <row r="81" spans="1:36" x14ac:dyDescent="0.3">
      <c r="A81" s="192" t="s">
        <v>63</v>
      </c>
      <c r="H81" s="212">
        <f t="shared" ref="H81:O81" si="85">H66</f>
        <v>3104</v>
      </c>
      <c r="I81" s="212">
        <f t="shared" si="85"/>
        <v>5684</v>
      </c>
      <c r="J81" s="212">
        <f t="shared" si="85"/>
        <v>3954</v>
      </c>
      <c r="K81" s="212">
        <f t="shared" si="85"/>
        <v>5031</v>
      </c>
      <c r="L81" s="212">
        <f t="shared" si="85"/>
        <v>15914522</v>
      </c>
      <c r="M81" s="212">
        <f t="shared" si="85"/>
        <v>15909491</v>
      </c>
      <c r="N81" s="212">
        <f t="shared" si="85"/>
        <v>4385</v>
      </c>
      <c r="O81" s="212">
        <f t="shared" si="85"/>
        <v>0</v>
      </c>
      <c r="P81" s="255">
        <f t="shared" ref="P81:AI81" si="86">P44+P66</f>
        <v>0</v>
      </c>
      <c r="Q81" s="255">
        <f t="shared" si="86"/>
        <v>15914522</v>
      </c>
      <c r="R81" s="255">
        <f t="shared" si="86"/>
        <v>19253400</v>
      </c>
      <c r="S81" s="255">
        <f t="shared" si="86"/>
        <v>60930701</v>
      </c>
      <c r="T81" s="255">
        <f t="shared" si="86"/>
        <v>20036000</v>
      </c>
      <c r="U81" s="255">
        <f t="shared" si="86"/>
        <v>64126632</v>
      </c>
      <c r="V81" s="255">
        <f t="shared" si="86"/>
        <v>25352300</v>
      </c>
      <c r="W81" s="255">
        <f t="shared" si="86"/>
        <v>24249200</v>
      </c>
      <c r="X81" s="255"/>
      <c r="Y81" s="255">
        <f t="shared" si="86"/>
        <v>3710522</v>
      </c>
      <c r="Z81" s="255">
        <f t="shared" si="86"/>
        <v>12204000</v>
      </c>
      <c r="AA81" s="255">
        <f t="shared" si="86"/>
        <v>14205701</v>
      </c>
      <c r="AB81" s="255">
        <f t="shared" si="86"/>
        <v>4501000</v>
      </c>
      <c r="AC81" s="255">
        <f t="shared" si="86"/>
        <v>46725000</v>
      </c>
      <c r="AD81" s="255">
        <f t="shared" si="86"/>
        <v>15535000</v>
      </c>
      <c r="AE81" s="255">
        <f t="shared" si="86"/>
        <v>14882914</v>
      </c>
      <c r="AF81" s="255">
        <f t="shared" si="86"/>
        <v>5818300</v>
      </c>
      <c r="AG81" s="255">
        <f t="shared" si="86"/>
        <v>49243718</v>
      </c>
      <c r="AH81" s="255">
        <f t="shared" si="86"/>
        <v>19534000</v>
      </c>
      <c r="AI81" s="255">
        <f t="shared" si="86"/>
        <v>5454200</v>
      </c>
      <c r="AJ81" s="255">
        <f t="shared" ref="AJ81" si="87">AJ44+AJ66</f>
        <v>18795000</v>
      </c>
    </row>
    <row r="82" spans="1:36" x14ac:dyDescent="0.3">
      <c r="A82" s="192" t="s">
        <v>60</v>
      </c>
      <c r="H82" s="212">
        <f>H18+H32+H33+H37+H53+H54+H55+H64+H65</f>
        <v>601453</v>
      </c>
      <c r="I82" s="212">
        <f>I18+I32+I33+I37+I53+I54+I55+I64+I65</f>
        <v>770705.8</v>
      </c>
      <c r="J82" s="212">
        <f>J18+J32+J33+J37+J53+J54+J55+J64+J65</f>
        <v>688970</v>
      </c>
      <c r="K82" s="212">
        <f>K18+K32+K33+K37+K53+K54+K55+K64+K65</f>
        <v>535811</v>
      </c>
      <c r="L82" s="212">
        <f t="shared" ref="L82:O82" si="88">L18+L32+L33+L37+L53+L54+L55+L64+L65+L21+L71+L24</f>
        <v>1037630793.11</v>
      </c>
      <c r="M82" s="212">
        <f t="shared" si="88"/>
        <v>998494982.11000001</v>
      </c>
      <c r="N82" s="212">
        <f t="shared" si="88"/>
        <v>408610</v>
      </c>
      <c r="O82" s="212">
        <f t="shared" si="88"/>
        <v>0</v>
      </c>
      <c r="P82" s="255">
        <f t="shared" ref="P82:AI82" si="89">P16+P17+P22+P24+P32+P33+P37+P43+P53+P54+P55+P65+P64+P71+P72+P76+P23</f>
        <v>0</v>
      </c>
      <c r="Q82" s="255">
        <f t="shared" si="89"/>
        <v>1063656000.7199999</v>
      </c>
      <c r="R82" s="255">
        <f t="shared" si="89"/>
        <v>869640858</v>
      </c>
      <c r="S82" s="255">
        <f t="shared" si="89"/>
        <v>1006693083.1800001</v>
      </c>
      <c r="T82" s="255">
        <f t="shared" si="89"/>
        <v>1114440638.02</v>
      </c>
      <c r="U82" s="255">
        <f t="shared" si="89"/>
        <v>1129403808.21</v>
      </c>
      <c r="V82" s="255">
        <f t="shared" si="89"/>
        <v>1039272000</v>
      </c>
      <c r="W82" s="255">
        <f t="shared" si="89"/>
        <v>1055341000</v>
      </c>
      <c r="X82" s="255"/>
      <c r="Y82" s="255">
        <f t="shared" si="89"/>
        <v>77542783.530000001</v>
      </c>
      <c r="Z82" s="255">
        <f t="shared" si="89"/>
        <v>962113217.19000006</v>
      </c>
      <c r="AA82" s="255">
        <f t="shared" si="89"/>
        <v>102940741.41</v>
      </c>
      <c r="AB82" s="255">
        <f t="shared" si="89"/>
        <v>130989761.67999999</v>
      </c>
      <c r="AC82" s="255">
        <f t="shared" si="89"/>
        <v>903752341.76999998</v>
      </c>
      <c r="AD82" s="255">
        <f t="shared" si="89"/>
        <v>983450876.34000003</v>
      </c>
      <c r="AE82" s="255">
        <f t="shared" si="89"/>
        <v>74131605</v>
      </c>
      <c r="AF82" s="255">
        <f t="shared" si="89"/>
        <v>73300000</v>
      </c>
      <c r="AG82" s="255">
        <f t="shared" si="89"/>
        <v>1055272203.21</v>
      </c>
      <c r="AH82" s="255">
        <f t="shared" si="89"/>
        <v>965972000</v>
      </c>
      <c r="AI82" s="255">
        <f t="shared" si="89"/>
        <v>70096000</v>
      </c>
      <c r="AJ82" s="255">
        <f t="shared" ref="AJ82" si="90">AJ16+AJ17+AJ22+AJ24+AJ32+AJ33+AJ37+AJ43+AJ53+AJ54+AJ55+AJ65+AJ64+AJ71+AJ72+AJ76+AJ23</f>
        <v>985245000</v>
      </c>
    </row>
    <row r="83" spans="1:36" x14ac:dyDescent="0.3">
      <c r="A83" s="192" t="s">
        <v>64</v>
      </c>
      <c r="H83" s="212">
        <f>H27+H68+H72</f>
        <v>110</v>
      </c>
      <c r="I83" s="212">
        <f>I27+I68+I72</f>
        <v>4134.2</v>
      </c>
      <c r="J83" s="212">
        <f>J27+J68+J72</f>
        <v>110</v>
      </c>
      <c r="K83" s="212">
        <f>K27+K68+K72</f>
        <v>1111</v>
      </c>
      <c r="L83" s="212">
        <f t="shared" ref="L83:O83" si="91">L27+L68+L46</f>
        <v>18685426.879999999</v>
      </c>
      <c r="M83" s="212">
        <f t="shared" si="91"/>
        <v>18685315.879999999</v>
      </c>
      <c r="N83" s="212">
        <f t="shared" si="91"/>
        <v>111</v>
      </c>
      <c r="O83" s="212">
        <f t="shared" si="91"/>
        <v>0</v>
      </c>
      <c r="P83" s="255">
        <f t="shared" ref="P83:AI83" si="92">P27+P45+P46+P68+P12+P50+P41+P42+P20</f>
        <v>0</v>
      </c>
      <c r="Q83" s="255">
        <f t="shared" si="92"/>
        <v>37177587.879999995</v>
      </c>
      <c r="R83" s="255">
        <f t="shared" si="92"/>
        <v>80995</v>
      </c>
      <c r="S83" s="255">
        <f t="shared" si="92"/>
        <v>10201991</v>
      </c>
      <c r="T83" s="255">
        <f t="shared" si="92"/>
        <v>10161622</v>
      </c>
      <c r="U83" s="255">
        <f t="shared" si="92"/>
        <v>185599</v>
      </c>
      <c r="V83" s="255">
        <f t="shared" si="92"/>
        <v>4163348</v>
      </c>
      <c r="W83" s="255">
        <f t="shared" si="92"/>
        <v>65398472</v>
      </c>
      <c r="X83" s="255"/>
      <c r="Y83" s="255">
        <f t="shared" si="92"/>
        <v>16718335</v>
      </c>
      <c r="Z83" s="255">
        <f t="shared" si="92"/>
        <v>20459252.879999999</v>
      </c>
      <c r="AA83" s="255">
        <f t="shared" si="92"/>
        <v>59209</v>
      </c>
      <c r="AB83" s="255">
        <f t="shared" si="92"/>
        <v>45272</v>
      </c>
      <c r="AC83" s="255">
        <f t="shared" si="92"/>
        <v>10142782</v>
      </c>
      <c r="AD83" s="255">
        <f t="shared" si="92"/>
        <v>10116350</v>
      </c>
      <c r="AE83" s="255">
        <f t="shared" si="92"/>
        <v>62063</v>
      </c>
      <c r="AF83" s="255">
        <f t="shared" si="92"/>
        <v>47759</v>
      </c>
      <c r="AG83" s="255">
        <f t="shared" si="92"/>
        <v>123536</v>
      </c>
      <c r="AH83" s="255">
        <f t="shared" si="92"/>
        <v>4115589</v>
      </c>
      <c r="AI83" s="255">
        <f t="shared" si="92"/>
        <v>49046975</v>
      </c>
      <c r="AJ83" s="255">
        <f>AJ27+AJ45+AJ46+AJ68+AJ12+AJ50+AJ41+AJ42+AJ20</f>
        <v>16351497</v>
      </c>
    </row>
    <row r="84" spans="1:36" x14ac:dyDescent="0.3">
      <c r="A84" s="192" t="s">
        <v>62</v>
      </c>
      <c r="H84" s="212">
        <f>H14+H29+H19+H62+H63</f>
        <v>1286</v>
      </c>
      <c r="I84" s="212">
        <f>I14+I29+I19+I62+I63</f>
        <v>42332</v>
      </c>
      <c r="J84" s="255">
        <f t="shared" ref="J84:AI84" si="93">J9+J14+J15+J19+J29+J34+J36+J47+J58+J62+J75+J63+J49+J48+J35</f>
        <v>1286</v>
      </c>
      <c r="K84" s="255">
        <f t="shared" si="93"/>
        <v>2581</v>
      </c>
      <c r="L84" s="255">
        <f t="shared" si="93"/>
        <v>77733000.409999996</v>
      </c>
      <c r="M84" s="255">
        <f t="shared" si="93"/>
        <v>77730419.409999996</v>
      </c>
      <c r="N84" s="255">
        <f t="shared" si="93"/>
        <v>2649</v>
      </c>
      <c r="O84" s="255">
        <f t="shared" si="93"/>
        <v>0</v>
      </c>
      <c r="P84" s="255">
        <f t="shared" si="93"/>
        <v>0</v>
      </c>
      <c r="Q84" s="255">
        <f t="shared" si="93"/>
        <v>86017376.159999996</v>
      </c>
      <c r="R84" s="255">
        <f t="shared" si="93"/>
        <v>51965387.739999995</v>
      </c>
      <c r="S84" s="255">
        <f t="shared" si="93"/>
        <v>68164415.269999996</v>
      </c>
      <c r="T84" s="255">
        <f t="shared" si="93"/>
        <v>91538637.969999999</v>
      </c>
      <c r="U84" s="255">
        <f t="shared" si="93"/>
        <v>61318000</v>
      </c>
      <c r="V84" s="255">
        <f t="shared" si="93"/>
        <v>62948000</v>
      </c>
      <c r="W84" s="255">
        <f t="shared" si="93"/>
        <v>640848100</v>
      </c>
      <c r="X84" s="255"/>
      <c r="Y84" s="255">
        <f t="shared" si="93"/>
        <v>11932448.67</v>
      </c>
      <c r="Z84" s="255">
        <f t="shared" si="93"/>
        <v>66749551.739999995</v>
      </c>
      <c r="AA84" s="255">
        <f t="shared" si="93"/>
        <v>18287591.640000001</v>
      </c>
      <c r="AB84" s="255">
        <f t="shared" si="93"/>
        <v>13208704.34</v>
      </c>
      <c r="AC84" s="255">
        <f t="shared" si="93"/>
        <v>49876823.629999995</v>
      </c>
      <c r="AD84" s="255">
        <f t="shared" si="93"/>
        <v>78329933.629999995</v>
      </c>
      <c r="AE84" s="255">
        <f t="shared" si="93"/>
        <v>0</v>
      </c>
      <c r="AF84" s="255">
        <f t="shared" si="93"/>
        <v>0</v>
      </c>
      <c r="AG84" s="255">
        <f t="shared" si="93"/>
        <v>61318000</v>
      </c>
      <c r="AH84" s="255">
        <f t="shared" si="93"/>
        <v>62948000</v>
      </c>
      <c r="AI84" s="255">
        <f t="shared" si="93"/>
        <v>484163600</v>
      </c>
      <c r="AJ84" s="255">
        <f t="shared" ref="AJ84" si="94">AJ9+AJ14+AJ15+AJ19+AJ29+AJ34+AJ36+AJ47+AJ58+AJ62+AJ75+AJ63+AJ49+AJ48+AJ35</f>
        <v>156684500</v>
      </c>
    </row>
    <row r="85" spans="1:36" hidden="1" x14ac:dyDescent="0.3">
      <c r="H85" s="212"/>
      <c r="I85" s="212"/>
      <c r="J85" s="212"/>
      <c r="K85" s="212"/>
      <c r="L85" s="212"/>
      <c r="M85" s="212"/>
      <c r="N85" s="212"/>
      <c r="O85" s="212"/>
      <c r="P85" s="212"/>
      <c r="Q85" s="212"/>
      <c r="R85" s="212"/>
      <c r="S85" s="212"/>
      <c r="T85" s="255"/>
      <c r="U85" s="255"/>
      <c r="V85" s="255"/>
      <c r="W85" s="255"/>
      <c r="X85" s="255"/>
      <c r="Y85" s="212"/>
      <c r="Z85" s="212"/>
      <c r="AA85" s="212"/>
      <c r="AB85" s="255"/>
      <c r="AC85" s="255"/>
      <c r="AD85" s="255"/>
      <c r="AE85" s="255"/>
      <c r="AF85" s="255"/>
      <c r="AG85" s="255"/>
      <c r="AH85" s="255"/>
      <c r="AI85" s="255"/>
      <c r="AJ85" s="255"/>
    </row>
    <row r="86" spans="1:36" hidden="1" x14ac:dyDescent="0.3">
      <c r="H86" s="213">
        <f t="shared" ref="H86:N86" si="95">SUM(H79:H85)</f>
        <v>609278</v>
      </c>
      <c r="I86" s="213">
        <f t="shared" si="95"/>
        <v>836101</v>
      </c>
      <c r="J86" s="213">
        <f t="shared" si="95"/>
        <v>696541</v>
      </c>
      <c r="K86" s="213">
        <f t="shared" si="95"/>
        <v>556714</v>
      </c>
      <c r="L86" s="213">
        <f>SUM(L79:L85)</f>
        <v>1184514357.3000002</v>
      </c>
      <c r="M86" s="213">
        <f t="shared" si="95"/>
        <v>1137894643.3</v>
      </c>
      <c r="N86" s="213">
        <f t="shared" si="95"/>
        <v>417935</v>
      </c>
      <c r="O86" s="213"/>
      <c r="P86" s="213"/>
      <c r="Q86" s="213">
        <f>SUM(Q79:Q85)</f>
        <v>1231683201.6600001</v>
      </c>
      <c r="R86" s="213">
        <f t="shared" ref="R86:AG86" si="96">SUM(R79:R85)</f>
        <v>944357561.78999996</v>
      </c>
      <c r="S86" s="213">
        <f t="shared" si="96"/>
        <v>1151657119.29</v>
      </c>
      <c r="T86" s="256">
        <f t="shared" si="96"/>
        <v>1304242740.99</v>
      </c>
      <c r="U86" s="256">
        <f t="shared" si="96"/>
        <v>1261033578.75</v>
      </c>
      <c r="V86" s="256"/>
      <c r="W86" s="256"/>
      <c r="X86" s="256"/>
      <c r="Y86" s="213">
        <f t="shared" si="96"/>
        <v>113174505.81</v>
      </c>
      <c r="Z86" s="213">
        <f t="shared" si="96"/>
        <v>1087173320.0999999</v>
      </c>
      <c r="AA86" s="213">
        <f t="shared" si="96"/>
        <v>137332001.74000001</v>
      </c>
      <c r="AB86" s="256">
        <f t="shared" ref="AB86" si="97">SUM(AB79:AB85)</f>
        <v>150481155.59</v>
      </c>
      <c r="AC86" s="256">
        <f t="shared" si="96"/>
        <v>1014325117.55</v>
      </c>
      <c r="AD86" s="256">
        <f t="shared" ref="AD86" si="98">SUM(AD79:AD85)</f>
        <v>1153761585.4000001</v>
      </c>
      <c r="AE86" s="256">
        <f t="shared" si="96"/>
        <v>91214597.890000001</v>
      </c>
      <c r="AF86" s="256">
        <f t="shared" ref="AF86" si="99">SUM(AF79:AF85)</f>
        <v>81482039.090000004</v>
      </c>
      <c r="AG86" s="256">
        <f t="shared" si="96"/>
        <v>1169818980.8600001</v>
      </c>
      <c r="AH86" s="256">
        <f t="shared" ref="AH86:AI86" si="100">SUM(AH79:AH85)</f>
        <v>1060990678.42</v>
      </c>
      <c r="AI86" s="256">
        <f t="shared" si="100"/>
        <v>610158387.54999995</v>
      </c>
      <c r="AJ86" s="256">
        <f t="shared" ref="AJ86" si="101">SUM(AJ79:AJ85)</f>
        <v>1181234280.5</v>
      </c>
    </row>
    <row r="87" spans="1:36" hidden="1" x14ac:dyDescent="0.3">
      <c r="H87" s="212"/>
      <c r="I87" s="212"/>
      <c r="J87" s="212"/>
      <c r="K87" s="212"/>
      <c r="L87" s="212"/>
      <c r="M87" s="212"/>
      <c r="N87" s="212"/>
      <c r="O87" s="212"/>
      <c r="P87" s="212"/>
      <c r="Q87" s="212"/>
      <c r="R87" s="212"/>
      <c r="S87" s="212"/>
      <c r="T87" s="255"/>
      <c r="U87" s="255"/>
      <c r="V87" s="255"/>
      <c r="W87" s="255"/>
      <c r="X87" s="254"/>
      <c r="Y87" s="212">
        <f t="shared" ref="Y87:AJ87" si="102">Y86-Y5</f>
        <v>0</v>
      </c>
      <c r="Z87" s="212">
        <f t="shared" si="102"/>
        <v>0</v>
      </c>
      <c r="AA87" s="212">
        <f t="shared" si="102"/>
        <v>0</v>
      </c>
      <c r="AB87" s="255">
        <f t="shared" si="102"/>
        <v>0</v>
      </c>
      <c r="AC87" s="255">
        <f t="shared" si="102"/>
        <v>0</v>
      </c>
      <c r="AD87" s="255">
        <f t="shared" si="102"/>
        <v>0</v>
      </c>
      <c r="AE87" s="255">
        <f t="shared" si="102"/>
        <v>0</v>
      </c>
      <c r="AF87" s="255">
        <f t="shared" si="102"/>
        <v>0</v>
      </c>
      <c r="AG87" s="255">
        <f t="shared" si="102"/>
        <v>0</v>
      </c>
      <c r="AH87" s="255">
        <f t="shared" si="102"/>
        <v>0</v>
      </c>
      <c r="AI87" s="255">
        <f t="shared" si="102"/>
        <v>0</v>
      </c>
      <c r="AJ87" s="255">
        <f t="shared" si="102"/>
        <v>0</v>
      </c>
    </row>
    <row r="88" spans="1:36" hidden="1" x14ac:dyDescent="0.3">
      <c r="H88" s="212"/>
      <c r="I88" s="212"/>
      <c r="J88" s="212"/>
      <c r="K88" s="212"/>
      <c r="L88" s="212"/>
      <c r="M88" s="212"/>
      <c r="N88" s="212"/>
      <c r="O88" s="212"/>
      <c r="P88" s="212"/>
      <c r="Q88" s="212"/>
      <c r="R88" s="212"/>
      <c r="S88" s="212"/>
      <c r="T88" s="255"/>
      <c r="U88" s="255"/>
      <c r="V88" s="255"/>
      <c r="W88" s="255"/>
      <c r="X88" s="254"/>
      <c r="Y88" s="212"/>
      <c r="Z88" s="212"/>
      <c r="AA88" s="212"/>
      <c r="AB88" s="255"/>
      <c r="AC88" s="255"/>
      <c r="AD88" s="255"/>
      <c r="AE88" s="255"/>
      <c r="AF88" s="255"/>
      <c r="AG88" s="255"/>
      <c r="AH88" s="255"/>
      <c r="AI88" s="255"/>
      <c r="AJ88" s="255"/>
    </row>
    <row r="89" spans="1:36" hidden="1" x14ac:dyDescent="0.3">
      <c r="A89" s="192">
        <v>0</v>
      </c>
      <c r="H89" s="212">
        <f t="shared" ref="H89:N89" si="103">H86-H5</f>
        <v>0</v>
      </c>
      <c r="I89" s="212">
        <f t="shared" si="103"/>
        <v>1</v>
      </c>
      <c r="J89" s="212">
        <f t="shared" si="103"/>
        <v>0</v>
      </c>
      <c r="K89" s="212">
        <f t="shared" si="103"/>
        <v>11000</v>
      </c>
      <c r="L89" s="212">
        <f t="shared" si="103"/>
        <v>-2761904.4199995995</v>
      </c>
      <c r="M89" s="212">
        <f t="shared" si="103"/>
        <v>-1424207.6099998951</v>
      </c>
      <c r="N89" s="212">
        <f t="shared" si="103"/>
        <v>0</v>
      </c>
      <c r="O89" s="212"/>
      <c r="P89" s="212"/>
      <c r="Q89" s="212">
        <f>Q86-Q5</f>
        <v>0</v>
      </c>
      <c r="R89" s="212">
        <f>R86-R5</f>
        <v>-38489000</v>
      </c>
      <c r="S89" s="212">
        <f>S86-S5</f>
        <v>0</v>
      </c>
      <c r="T89" s="255">
        <f>T86-T5</f>
        <v>0</v>
      </c>
      <c r="U89" s="255">
        <f>U86-U5</f>
        <v>0</v>
      </c>
      <c r="V89" s="255"/>
      <c r="W89" s="255"/>
      <c r="X89" s="255"/>
      <c r="Y89" s="212">
        <f t="shared" ref="Y89:AJ89" si="104">Y86-Y5</f>
        <v>0</v>
      </c>
      <c r="Z89" s="212">
        <f t="shared" si="104"/>
        <v>0</v>
      </c>
      <c r="AA89" s="212">
        <f t="shared" si="104"/>
        <v>0</v>
      </c>
      <c r="AB89" s="255">
        <f t="shared" si="104"/>
        <v>0</v>
      </c>
      <c r="AC89" s="255">
        <f t="shared" si="104"/>
        <v>0</v>
      </c>
      <c r="AD89" s="255">
        <f t="shared" si="104"/>
        <v>0</v>
      </c>
      <c r="AE89" s="255">
        <f t="shared" si="104"/>
        <v>0</v>
      </c>
      <c r="AF89" s="255">
        <f t="shared" si="104"/>
        <v>0</v>
      </c>
      <c r="AG89" s="255">
        <f t="shared" si="104"/>
        <v>0</v>
      </c>
      <c r="AH89" s="255">
        <f t="shared" si="104"/>
        <v>0</v>
      </c>
      <c r="AI89" s="255">
        <f t="shared" si="104"/>
        <v>0</v>
      </c>
      <c r="AJ89" s="255">
        <f t="shared" si="104"/>
        <v>0</v>
      </c>
    </row>
    <row r="90" spans="1:36" x14ac:dyDescent="0.3">
      <c r="L90" s="116"/>
      <c r="M90" s="116"/>
      <c r="N90" s="116"/>
      <c r="O90" s="116"/>
      <c r="P90" s="116"/>
      <c r="Q90" s="116"/>
      <c r="R90" s="116"/>
      <c r="S90" s="116"/>
      <c r="T90" s="254"/>
      <c r="U90" s="254"/>
      <c r="V90" s="254"/>
      <c r="W90" s="254"/>
      <c r="X90" s="254"/>
      <c r="Y90" s="116"/>
      <c r="Z90" s="116"/>
      <c r="AA90" s="116"/>
      <c r="AB90" s="254"/>
      <c r="AC90" s="254"/>
      <c r="AD90" s="254"/>
      <c r="AE90" s="254"/>
      <c r="AF90" s="254"/>
      <c r="AG90" s="254"/>
      <c r="AH90" s="254"/>
      <c r="AI90" s="254"/>
      <c r="AJ90" s="254"/>
    </row>
    <row r="91" spans="1:36" x14ac:dyDescent="0.3">
      <c r="L91" s="116"/>
      <c r="M91" s="116"/>
      <c r="N91" s="116"/>
      <c r="O91" s="116"/>
      <c r="P91" s="116"/>
      <c r="Q91" s="116">
        <f t="shared" ref="Q91:R91" si="105">SUM(Q79:Q84)</f>
        <v>1231683201.6600001</v>
      </c>
      <c r="R91" s="116">
        <f t="shared" si="105"/>
        <v>944357561.78999996</v>
      </c>
      <c r="S91" s="116">
        <f>SUM(S79:S84)</f>
        <v>1151657119.29</v>
      </c>
      <c r="T91" s="254">
        <f t="shared" ref="T91:AJ91" si="106">SUM(T79:T84)</f>
        <v>1304242740.99</v>
      </c>
      <c r="U91" s="254">
        <f t="shared" si="106"/>
        <v>1261033578.75</v>
      </c>
      <c r="V91" s="254">
        <f t="shared" si="106"/>
        <v>1142472717.51</v>
      </c>
      <c r="W91" s="254">
        <f t="shared" si="106"/>
        <v>1791392668.05</v>
      </c>
      <c r="X91" s="116"/>
      <c r="Y91" s="116">
        <f t="shared" si="106"/>
        <v>113174505.81</v>
      </c>
      <c r="Z91" s="116">
        <f t="shared" si="106"/>
        <v>1087173320.0999999</v>
      </c>
      <c r="AA91" s="116">
        <f t="shared" si="106"/>
        <v>137332001.74000001</v>
      </c>
      <c r="AB91" s="116">
        <f t="shared" si="106"/>
        <v>150481155.59</v>
      </c>
      <c r="AC91" s="116">
        <f t="shared" si="106"/>
        <v>1014325117.55</v>
      </c>
      <c r="AD91" s="116">
        <f t="shared" si="106"/>
        <v>1153761585.4000001</v>
      </c>
      <c r="AE91" s="116">
        <f t="shared" si="106"/>
        <v>91214597.890000001</v>
      </c>
      <c r="AF91" s="116">
        <f t="shared" si="106"/>
        <v>81482039.090000004</v>
      </c>
      <c r="AG91" s="116">
        <f t="shared" si="106"/>
        <v>1169818980.8600001</v>
      </c>
      <c r="AH91" s="116">
        <f>SUM(AH79:AH84)</f>
        <v>1060990678.42</v>
      </c>
      <c r="AI91" s="116">
        <f t="shared" si="106"/>
        <v>610158387.54999995</v>
      </c>
      <c r="AJ91" s="116">
        <f t="shared" si="106"/>
        <v>1181234280.5</v>
      </c>
    </row>
    <row r="92" spans="1:36" x14ac:dyDescent="0.3">
      <c r="L92" s="116"/>
      <c r="M92" s="116"/>
      <c r="N92" s="116"/>
      <c r="O92" s="116"/>
      <c r="P92" s="116"/>
      <c r="Q92" s="116">
        <f>Q91-Q5</f>
        <v>0</v>
      </c>
      <c r="R92" s="116">
        <f t="shared" ref="R92:AJ92" si="107">R91-R5</f>
        <v>-38489000</v>
      </c>
      <c r="S92" s="116">
        <f t="shared" si="107"/>
        <v>0</v>
      </c>
      <c r="T92" s="254">
        <f t="shared" si="107"/>
        <v>0</v>
      </c>
      <c r="U92" s="254">
        <f t="shared" si="107"/>
        <v>0</v>
      </c>
      <c r="V92" s="254">
        <f t="shared" si="107"/>
        <v>0</v>
      </c>
      <c r="W92" s="254">
        <f t="shared" si="107"/>
        <v>0</v>
      </c>
      <c r="X92" s="116"/>
      <c r="Y92" s="116">
        <f t="shared" si="107"/>
        <v>0</v>
      </c>
      <c r="Z92" s="116">
        <f t="shared" si="107"/>
        <v>0</v>
      </c>
      <c r="AA92" s="116">
        <f t="shared" si="107"/>
        <v>0</v>
      </c>
      <c r="AB92" s="116">
        <f t="shared" si="107"/>
        <v>0</v>
      </c>
      <c r="AC92" s="116">
        <f t="shared" si="107"/>
        <v>0</v>
      </c>
      <c r="AD92" s="116">
        <f t="shared" si="107"/>
        <v>0</v>
      </c>
      <c r="AE92" s="116">
        <f t="shared" si="107"/>
        <v>0</v>
      </c>
      <c r="AF92" s="116">
        <f t="shared" si="107"/>
        <v>0</v>
      </c>
      <c r="AG92" s="116">
        <f t="shared" si="107"/>
        <v>0</v>
      </c>
      <c r="AH92" s="116">
        <f>AH91-AH5</f>
        <v>0</v>
      </c>
      <c r="AI92" s="116">
        <f t="shared" si="107"/>
        <v>0</v>
      </c>
      <c r="AJ92" s="116">
        <f t="shared" si="107"/>
        <v>0</v>
      </c>
    </row>
    <row r="93" spans="1:36" x14ac:dyDescent="0.3">
      <c r="L93" s="116"/>
      <c r="M93" s="116"/>
      <c r="N93" s="116"/>
      <c r="O93" s="116"/>
      <c r="P93" s="116"/>
      <c r="Q93" s="116"/>
      <c r="R93" s="116"/>
      <c r="S93" s="116"/>
      <c r="T93" s="254"/>
      <c r="U93" s="254"/>
      <c r="V93" s="254"/>
      <c r="W93" s="254"/>
      <c r="X93" s="116"/>
      <c r="Y93" s="116"/>
      <c r="Z93" s="116"/>
      <c r="AA93" s="116"/>
      <c r="AB93" s="254"/>
      <c r="AC93" s="254"/>
      <c r="AD93" s="254"/>
      <c r="AE93" s="254"/>
      <c r="AF93" s="254"/>
      <c r="AG93" s="254"/>
      <c r="AH93" s="254"/>
      <c r="AI93" s="116"/>
      <c r="AJ93" s="254"/>
    </row>
    <row r="94" spans="1:36" x14ac:dyDescent="0.3">
      <c r="L94" s="116"/>
      <c r="M94" s="116"/>
      <c r="N94" s="116"/>
      <c r="O94" s="116"/>
      <c r="P94" s="116"/>
      <c r="Q94" s="116"/>
      <c r="R94" s="116"/>
      <c r="S94" s="116"/>
      <c r="T94" s="254"/>
      <c r="U94" s="254"/>
      <c r="V94" s="254"/>
      <c r="W94" s="254"/>
      <c r="X94" s="116"/>
      <c r="Y94" s="116"/>
      <c r="Z94" s="116"/>
      <c r="AA94" s="116"/>
      <c r="AB94" s="254"/>
      <c r="AC94" s="254"/>
      <c r="AD94" s="254"/>
      <c r="AE94" s="254"/>
      <c r="AF94" s="254"/>
      <c r="AG94" s="254"/>
      <c r="AH94" s="254"/>
      <c r="AI94" s="116"/>
      <c r="AJ94" s="254"/>
    </row>
    <row r="95" spans="1:36" x14ac:dyDescent="0.3">
      <c r="L95" s="116"/>
      <c r="M95" s="116"/>
      <c r="N95" s="116"/>
      <c r="O95" s="116"/>
      <c r="P95" s="116"/>
      <c r="Q95" s="116"/>
      <c r="R95" s="116"/>
      <c r="S95" s="116"/>
      <c r="T95" s="254"/>
      <c r="U95" s="254"/>
      <c r="V95" s="254"/>
      <c r="W95" s="254"/>
      <c r="X95" s="116"/>
      <c r="Y95" s="116"/>
      <c r="Z95" s="116"/>
      <c r="AA95" s="116"/>
      <c r="AB95" s="254"/>
      <c r="AC95" s="254"/>
      <c r="AD95" s="254"/>
      <c r="AE95" s="254"/>
      <c r="AF95" s="254"/>
      <c r="AG95" s="254"/>
      <c r="AH95" s="254"/>
      <c r="AI95" s="116"/>
      <c r="AJ95" s="254"/>
    </row>
    <row r="96" spans="1:36" x14ac:dyDescent="0.3">
      <c r="L96" s="116"/>
      <c r="M96" s="116"/>
      <c r="N96" s="116"/>
      <c r="O96" s="116"/>
      <c r="P96" s="116"/>
      <c r="Q96" s="116"/>
      <c r="R96" s="116"/>
      <c r="S96" s="116"/>
      <c r="T96" s="254"/>
      <c r="U96" s="254"/>
      <c r="V96" s="254"/>
      <c r="W96" s="254"/>
      <c r="X96" s="116"/>
      <c r="Y96" s="116"/>
      <c r="Z96" s="116"/>
      <c r="AA96" s="116"/>
      <c r="AB96" s="254"/>
      <c r="AC96" s="254"/>
      <c r="AD96" s="254"/>
      <c r="AE96" s="254"/>
      <c r="AF96" s="254"/>
      <c r="AG96" s="254"/>
      <c r="AH96" s="254"/>
      <c r="AI96" s="116"/>
      <c r="AJ96" s="254"/>
    </row>
    <row r="97" spans="12:36" x14ac:dyDescent="0.3">
      <c r="L97" s="116"/>
      <c r="M97" s="116"/>
      <c r="N97" s="116"/>
      <c r="O97" s="116"/>
      <c r="P97" s="116"/>
      <c r="Q97" s="116"/>
      <c r="R97" s="116"/>
      <c r="S97" s="116"/>
      <c r="T97" s="254"/>
      <c r="U97" s="254"/>
      <c r="V97" s="254"/>
      <c r="W97" s="254"/>
      <c r="X97" s="116"/>
      <c r="Y97" s="116"/>
      <c r="Z97" s="116"/>
      <c r="AA97" s="116"/>
      <c r="AB97" s="254"/>
      <c r="AC97" s="254"/>
      <c r="AD97" s="254"/>
      <c r="AE97" s="254"/>
      <c r="AF97" s="254"/>
      <c r="AG97" s="254"/>
      <c r="AH97" s="254"/>
      <c r="AI97" s="116"/>
      <c r="AJ97" s="254"/>
    </row>
    <row r="109" spans="12:36" x14ac:dyDescent="0.3">
      <c r="T109" s="254"/>
      <c r="U109" s="254"/>
      <c r="V109" s="254"/>
    </row>
  </sheetData>
  <autoFilter ref="A1:AJ84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3">
    <mergeCell ref="A3:W3"/>
    <mergeCell ref="A2:W2"/>
    <mergeCell ref="A1:W1"/>
  </mergeCells>
  <pageMargins left="0.78740157480314965" right="0" top="0" bottom="0" header="0.31496062992125984" footer="0.31496062992125984"/>
  <pageSetup paperSize="9" scale="58" fitToWidth="3" fitToHeight="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92"/>
  <sheetViews>
    <sheetView workbookViewId="0">
      <pane xSplit="7" ySplit="4" topLeftCell="Q5" activePane="bottomRight" state="frozen"/>
      <selection pane="topRight" activeCell="H1" sqref="H1"/>
      <selection pane="bottomLeft" activeCell="A5" sqref="A5"/>
      <selection pane="bottomRight" activeCell="Q77" sqref="Q77"/>
    </sheetView>
  </sheetViews>
  <sheetFormatPr defaultColWidth="8.88671875" defaultRowHeight="14.4" x14ac:dyDescent="0.3"/>
  <cols>
    <col min="1" max="1" width="20.6640625" style="192" customWidth="1"/>
    <col min="2" max="2" width="68.6640625" style="192" customWidth="1"/>
    <col min="3" max="3" width="17.88671875" style="192" hidden="1" customWidth="1"/>
    <col min="4" max="4" width="16.109375" style="192" hidden="1" customWidth="1"/>
    <col min="5" max="5" width="18.5546875" style="192" hidden="1" customWidth="1"/>
    <col min="6" max="6" width="11.6640625" style="192" hidden="1" customWidth="1"/>
    <col min="7" max="7" width="11" style="192" hidden="1" customWidth="1"/>
    <col min="8" max="10" width="14.33203125" style="192" hidden="1" customWidth="1"/>
    <col min="11" max="11" width="13.6640625" style="192" hidden="1" customWidth="1"/>
    <col min="12" max="16" width="14.88671875" style="192" hidden="1" customWidth="1"/>
    <col min="17" max="17" width="14.88671875" style="192" customWidth="1"/>
    <col min="18" max="18" width="14.88671875" style="192" hidden="1" customWidth="1"/>
    <col min="19" max="19" width="14.88671875" style="192" customWidth="1"/>
    <col min="20" max="20" width="14.88671875" style="192" hidden="1" customWidth="1"/>
    <col min="21" max="21" width="14.88671875" style="192" customWidth="1"/>
    <col min="22" max="22" width="8.88671875" style="192"/>
    <col min="23" max="23" width="14.44140625" style="192" customWidth="1"/>
    <col min="24" max="24" width="15.6640625" style="192" customWidth="1"/>
    <col min="25" max="25" width="13.33203125" style="192" customWidth="1"/>
    <col min="26" max="26" width="14.6640625" style="192" customWidth="1"/>
    <col min="27" max="27" width="13.6640625" style="192" customWidth="1"/>
    <col min="28" max="28" width="15.33203125" style="192" customWidth="1"/>
    <col min="29" max="16384" width="8.88671875" style="192"/>
  </cols>
  <sheetData>
    <row r="1" spans="1:28" ht="12" customHeight="1" x14ac:dyDescent="0.3">
      <c r="A1" s="281" t="s">
        <v>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20"/>
      <c r="U1" s="220"/>
    </row>
    <row r="2" spans="1:28" ht="12" customHeight="1" x14ac:dyDescent="0.3">
      <c r="A2" s="281" t="s">
        <v>1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20"/>
      <c r="U2" s="220"/>
    </row>
    <row r="3" spans="1:28" ht="12" customHeight="1" x14ac:dyDescent="0.3">
      <c r="A3" s="282" t="s">
        <v>203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21"/>
      <c r="U3" s="221"/>
      <c r="V3" s="205" t="s">
        <v>135</v>
      </c>
    </row>
    <row r="4" spans="1:28" ht="15.75" customHeight="1" x14ac:dyDescent="0.3">
      <c r="A4" s="119" t="s">
        <v>74</v>
      </c>
      <c r="B4" s="119" t="s">
        <v>2</v>
      </c>
      <c r="C4" s="119" t="s">
        <v>34</v>
      </c>
      <c r="D4" s="119" t="s">
        <v>17</v>
      </c>
      <c r="E4" s="119" t="s">
        <v>35</v>
      </c>
      <c r="H4" s="126">
        <v>2020</v>
      </c>
      <c r="I4" s="206">
        <v>2020</v>
      </c>
      <c r="J4" s="126">
        <v>2021</v>
      </c>
      <c r="K4" s="126">
        <v>2021</v>
      </c>
      <c r="L4" s="193">
        <v>2022</v>
      </c>
      <c r="M4" s="193" t="s">
        <v>117</v>
      </c>
      <c r="N4" s="193">
        <v>2022</v>
      </c>
      <c r="O4" s="193"/>
      <c r="P4" s="193"/>
      <c r="Q4" s="193">
        <v>2023</v>
      </c>
      <c r="R4" s="194" t="s">
        <v>201</v>
      </c>
      <c r="S4" s="194">
        <v>2024</v>
      </c>
      <c r="T4" s="194" t="s">
        <v>202</v>
      </c>
      <c r="U4" s="194">
        <v>2025</v>
      </c>
      <c r="V4" s="205"/>
      <c r="W4" s="195" t="s">
        <v>121</v>
      </c>
      <c r="X4" s="196" t="s">
        <v>122</v>
      </c>
      <c r="Y4" s="195" t="s">
        <v>129</v>
      </c>
      <c r="Z4" s="196" t="s">
        <v>130</v>
      </c>
      <c r="AA4" s="195" t="s">
        <v>159</v>
      </c>
      <c r="AB4" s="196" t="s">
        <v>158</v>
      </c>
    </row>
    <row r="5" spans="1:28" x14ac:dyDescent="0.3">
      <c r="A5" s="171" t="s">
        <v>57</v>
      </c>
      <c r="B5" s="113" t="s">
        <v>58</v>
      </c>
      <c r="C5" s="16">
        <f t="shared" ref="C5:K5" si="0">C6-C71</f>
        <v>860978.1</v>
      </c>
      <c r="D5" s="16">
        <f t="shared" si="0"/>
        <v>360</v>
      </c>
      <c r="E5" s="16">
        <f t="shared" si="0"/>
        <v>860978084.66999996</v>
      </c>
      <c r="F5" s="16">
        <f t="shared" si="0"/>
        <v>828462.58061999991</v>
      </c>
      <c r="G5" s="16">
        <f t="shared" si="0"/>
        <v>8.0620000002749492E-2</v>
      </c>
      <c r="H5" s="16">
        <f t="shared" si="0"/>
        <v>609278</v>
      </c>
      <c r="I5" s="16">
        <f t="shared" si="0"/>
        <v>836100</v>
      </c>
      <c r="J5" s="16">
        <f t="shared" si="0"/>
        <v>696541</v>
      </c>
      <c r="K5" s="130">
        <f t="shared" si="0"/>
        <v>545714</v>
      </c>
      <c r="L5" s="25">
        <f>L6+L71</f>
        <v>1187276261.7199998</v>
      </c>
      <c r="M5" s="25">
        <f>M6-M71</f>
        <v>1139318850.9099998</v>
      </c>
      <c r="N5" s="25">
        <f>N6-N71</f>
        <v>417935</v>
      </c>
      <c r="O5" s="25"/>
      <c r="P5" s="25"/>
      <c r="Q5" s="25">
        <f>Q6+Q69</f>
        <v>1231683201.6599998</v>
      </c>
      <c r="R5" s="25">
        <f t="shared" ref="R5:AB5" si="1">R6+R69</f>
        <v>982846561.78999996</v>
      </c>
      <c r="S5" s="25">
        <f t="shared" si="1"/>
        <v>1151657119.29</v>
      </c>
      <c r="T5" s="25">
        <f t="shared" si="1"/>
        <v>1126677110</v>
      </c>
      <c r="U5" s="25">
        <f t="shared" si="1"/>
        <v>1261033578.75</v>
      </c>
      <c r="V5" s="25"/>
      <c r="W5" s="25">
        <f t="shared" si="1"/>
        <v>113174505.81</v>
      </c>
      <c r="X5" s="25">
        <f t="shared" si="1"/>
        <v>1087173320.1000001</v>
      </c>
      <c r="Y5" s="25">
        <f t="shared" si="1"/>
        <v>137332001.74000001</v>
      </c>
      <c r="Z5" s="25">
        <f t="shared" si="1"/>
        <v>1014325117.55</v>
      </c>
      <c r="AA5" s="25">
        <f t="shared" si="1"/>
        <v>91214597.890000001</v>
      </c>
      <c r="AB5" s="25">
        <f t="shared" si="1"/>
        <v>1169818980.8599999</v>
      </c>
    </row>
    <row r="6" spans="1:28" ht="17.25" customHeight="1" x14ac:dyDescent="0.3">
      <c r="A6" s="171" t="s">
        <v>22</v>
      </c>
      <c r="B6" s="165" t="s">
        <v>23</v>
      </c>
      <c r="C6" s="16">
        <f>C12+C46+C68+C7+C71</f>
        <v>864721.7</v>
      </c>
      <c r="D6" s="16">
        <f>D12+D46+D68+D7+D71</f>
        <v>360</v>
      </c>
      <c r="E6" s="16">
        <f>E12+E46+E68+E7+E71</f>
        <v>864721718.66999996</v>
      </c>
      <c r="F6" s="16">
        <f>F12+F46+F68+F7+F71</f>
        <v>832206.21461999987</v>
      </c>
      <c r="G6" s="16">
        <f>G12+G46+G68+G7+G71</f>
        <v>0.11462000000285499</v>
      </c>
      <c r="H6" s="16">
        <f>H12+H46+H68+H7+H71+H67</f>
        <v>609278</v>
      </c>
      <c r="I6" s="16">
        <f>I12+I46+I68+I7+I71+I67</f>
        <v>836100</v>
      </c>
      <c r="J6" s="16">
        <f>J12+J46+J68+J7+J71+J67</f>
        <v>696541</v>
      </c>
      <c r="K6" s="130">
        <f>K46</f>
        <v>545714</v>
      </c>
      <c r="L6" s="25">
        <f>L12+L46+L68+L7+L67+L65</f>
        <v>1187152261.7199998</v>
      </c>
      <c r="M6" s="25">
        <f>M12+M46+M68+M7+M71+M67+M65</f>
        <v>1139318850.9099998</v>
      </c>
      <c r="N6" s="25">
        <f>N12+N46+N68+N7+N71+N67+N65</f>
        <v>417935</v>
      </c>
      <c r="O6" s="25"/>
      <c r="P6" s="25"/>
      <c r="Q6" s="25">
        <f>Q7+Q12+Q46+Q65</f>
        <v>1200347825.9099998</v>
      </c>
      <c r="R6" s="25">
        <f t="shared" ref="R6:AB6" si="2">R7+R12+R46+R65</f>
        <v>982846561.78999996</v>
      </c>
      <c r="S6" s="25">
        <f t="shared" si="2"/>
        <v>1151657119.29</v>
      </c>
      <c r="T6" s="25">
        <f t="shared" si="2"/>
        <v>1126677110</v>
      </c>
      <c r="U6" s="25">
        <f t="shared" si="2"/>
        <v>1261033578.75</v>
      </c>
      <c r="V6" s="25"/>
      <c r="W6" s="25">
        <f t="shared" si="2"/>
        <v>113174505.81</v>
      </c>
      <c r="X6" s="25">
        <f t="shared" si="2"/>
        <v>1087173320.1000001</v>
      </c>
      <c r="Y6" s="25">
        <f t="shared" si="2"/>
        <v>137332001.74000001</v>
      </c>
      <c r="Z6" s="25">
        <f t="shared" si="2"/>
        <v>1014325117.55</v>
      </c>
      <c r="AA6" s="25">
        <f t="shared" si="2"/>
        <v>91214597.890000001</v>
      </c>
      <c r="AB6" s="25">
        <f t="shared" si="2"/>
        <v>1169818980.8599999</v>
      </c>
    </row>
    <row r="7" spans="1:28" x14ac:dyDescent="0.3">
      <c r="A7" s="222" t="s">
        <v>36</v>
      </c>
      <c r="B7" s="223" t="s">
        <v>26</v>
      </c>
      <c r="C7" s="15">
        <f>C10</f>
        <v>34649</v>
      </c>
      <c r="D7" s="15">
        <f>D10</f>
        <v>0</v>
      </c>
      <c r="E7" s="15">
        <f>E10</f>
        <v>34649000</v>
      </c>
      <c r="F7" s="15">
        <f>F10</f>
        <v>34649</v>
      </c>
      <c r="G7" s="15">
        <f>G10</f>
        <v>0</v>
      </c>
      <c r="H7" s="15">
        <f t="shared" ref="H7:K7" si="3">H10+H9</f>
        <v>1186</v>
      </c>
      <c r="I7" s="15">
        <f t="shared" si="3"/>
        <v>1823</v>
      </c>
      <c r="J7" s="15">
        <f t="shared" si="3"/>
        <v>0</v>
      </c>
      <c r="K7" s="224">
        <f t="shared" si="3"/>
        <v>0</v>
      </c>
      <c r="L7" s="225">
        <f t="shared" ref="L7:L9" si="4">W7+X7</f>
        <v>28719000</v>
      </c>
      <c r="M7" s="24">
        <f t="shared" ref="M7:N7" si="5">M9+M10</f>
        <v>21255000</v>
      </c>
      <c r="N7" s="24">
        <f t="shared" si="5"/>
        <v>0</v>
      </c>
      <c r="O7" s="24"/>
      <c r="P7" s="24"/>
      <c r="Q7" s="24">
        <f>SUM(Q8:Q11)</f>
        <v>28719000</v>
      </c>
      <c r="R7" s="24">
        <f t="shared" ref="R7:AB7" si="6">SUM(R8:R10)</f>
        <v>0</v>
      </c>
      <c r="S7" s="24">
        <f t="shared" si="6"/>
        <v>0</v>
      </c>
      <c r="T7" s="24">
        <f t="shared" si="6"/>
        <v>0</v>
      </c>
      <c r="U7" s="24">
        <f t="shared" si="6"/>
        <v>0</v>
      </c>
      <c r="V7" s="24"/>
      <c r="W7" s="24">
        <f t="shared" si="6"/>
        <v>0</v>
      </c>
      <c r="X7" s="24">
        <f>SUM(X8:X11)</f>
        <v>28719000</v>
      </c>
      <c r="Y7" s="24">
        <f t="shared" si="6"/>
        <v>0</v>
      </c>
      <c r="Z7" s="24">
        <f t="shared" si="6"/>
        <v>0</v>
      </c>
      <c r="AA7" s="24">
        <f t="shared" si="6"/>
        <v>0</v>
      </c>
      <c r="AB7" s="24">
        <f t="shared" si="6"/>
        <v>0</v>
      </c>
    </row>
    <row r="8" spans="1:28" ht="24.6" x14ac:dyDescent="0.3">
      <c r="A8" s="171" t="s">
        <v>197</v>
      </c>
      <c r="B8" s="121" t="s">
        <v>198</v>
      </c>
      <c r="C8" s="16"/>
      <c r="D8" s="16"/>
      <c r="E8" s="16"/>
      <c r="F8" s="125"/>
      <c r="G8" s="125"/>
      <c r="H8" s="16"/>
      <c r="I8" s="16"/>
      <c r="J8" s="16"/>
      <c r="K8" s="130"/>
      <c r="L8" s="198"/>
      <c r="M8" s="25"/>
      <c r="N8" s="25"/>
      <c r="O8" s="25"/>
      <c r="P8" s="25"/>
      <c r="Q8" s="25">
        <f>W8+X8</f>
        <v>912000</v>
      </c>
      <c r="R8" s="25"/>
      <c r="S8" s="25"/>
      <c r="T8" s="25"/>
      <c r="U8" s="25"/>
      <c r="V8" s="208">
        <v>905</v>
      </c>
      <c r="W8" s="24"/>
      <c r="X8" s="25">
        <v>912000</v>
      </c>
      <c r="Y8" s="24"/>
      <c r="Z8" s="25"/>
      <c r="AA8" s="24"/>
      <c r="AB8" s="25"/>
    </row>
    <row r="9" spans="1:28" ht="24" x14ac:dyDescent="0.3">
      <c r="A9" s="171" t="s">
        <v>197</v>
      </c>
      <c r="B9" s="165" t="s">
        <v>198</v>
      </c>
      <c r="C9" s="16"/>
      <c r="D9" s="16"/>
      <c r="E9" s="16"/>
      <c r="F9" s="125"/>
      <c r="G9" s="125"/>
      <c r="H9" s="114">
        <v>1186</v>
      </c>
      <c r="I9" s="114">
        <v>1186</v>
      </c>
      <c r="J9" s="16"/>
      <c r="K9" s="130">
        <v>0</v>
      </c>
      <c r="L9" s="198">
        <f t="shared" si="4"/>
        <v>3178000</v>
      </c>
      <c r="M9" s="198">
        <f t="shared" ref="M9:M10" si="7">L9-K9</f>
        <v>3178000</v>
      </c>
      <c r="N9" s="25">
        <v>0</v>
      </c>
      <c r="O9" s="25"/>
      <c r="P9" s="25"/>
      <c r="Q9" s="25">
        <f t="shared" ref="Q9:Q68" si="8">W9+X9</f>
        <v>3178000</v>
      </c>
      <c r="R9" s="25">
        <v>0</v>
      </c>
      <c r="S9" s="25">
        <f t="shared" ref="S9:S71" si="9">Y9+Z9</f>
        <v>0</v>
      </c>
      <c r="T9" s="25"/>
      <c r="U9" s="25">
        <f t="shared" ref="U9:U71" si="10">AA9+AB9</f>
        <v>0</v>
      </c>
      <c r="V9" s="208">
        <v>903</v>
      </c>
      <c r="W9" s="197"/>
      <c r="X9" s="25">
        <f>1033000+2145000</f>
        <v>3178000</v>
      </c>
      <c r="Y9" s="197"/>
      <c r="Z9" s="25"/>
      <c r="AA9" s="197"/>
      <c r="AB9" s="25"/>
    </row>
    <row r="10" spans="1:28" ht="16.95" customHeight="1" x14ac:dyDescent="0.3">
      <c r="A10" s="115" t="s">
        <v>148</v>
      </c>
      <c r="B10" s="30" t="s">
        <v>149</v>
      </c>
      <c r="C10" s="16">
        <f>9649+25000</f>
        <v>34649</v>
      </c>
      <c r="D10" s="16"/>
      <c r="E10" s="25">
        <f>9649000+25000000</f>
        <v>34649000</v>
      </c>
      <c r="F10" s="116">
        <f t="shared" ref="F10:F68" si="11">E10/1000</f>
        <v>34649</v>
      </c>
      <c r="G10" s="116">
        <f t="shared" ref="G10:G68" si="12">F10-C10</f>
        <v>0</v>
      </c>
      <c r="H10" s="114"/>
      <c r="I10" s="114">
        <v>637</v>
      </c>
      <c r="J10" s="114">
        <v>0</v>
      </c>
      <c r="K10" s="131">
        <v>0</v>
      </c>
      <c r="L10" s="198">
        <f>W10+X10</f>
        <v>18077000</v>
      </c>
      <c r="M10" s="198">
        <f t="shared" si="7"/>
        <v>18077000</v>
      </c>
      <c r="N10" s="198">
        <v>0</v>
      </c>
      <c r="O10" s="198"/>
      <c r="P10" s="198"/>
      <c r="Q10" s="25">
        <f>W10+X10</f>
        <v>18077000</v>
      </c>
      <c r="R10" s="198">
        <v>0</v>
      </c>
      <c r="S10" s="25">
        <f t="shared" si="9"/>
        <v>0</v>
      </c>
      <c r="T10" s="198"/>
      <c r="U10" s="25">
        <f t="shared" si="10"/>
        <v>0</v>
      </c>
      <c r="V10" s="208">
        <v>903</v>
      </c>
      <c r="W10" s="197"/>
      <c r="X10" s="214">
        <v>18077000</v>
      </c>
      <c r="Y10" s="197"/>
      <c r="Z10" s="198"/>
      <c r="AA10" s="197"/>
      <c r="AB10" s="198"/>
    </row>
    <row r="11" spans="1:28" ht="16.95" customHeight="1" x14ac:dyDescent="0.3">
      <c r="A11" s="115" t="s">
        <v>148</v>
      </c>
      <c r="B11" s="30" t="s">
        <v>149</v>
      </c>
      <c r="C11" s="16"/>
      <c r="D11" s="16"/>
      <c r="E11" s="25"/>
      <c r="F11" s="116"/>
      <c r="G11" s="116"/>
      <c r="H11" s="114"/>
      <c r="I11" s="114"/>
      <c r="J11" s="114"/>
      <c r="K11" s="131"/>
      <c r="L11" s="198"/>
      <c r="M11" s="198"/>
      <c r="N11" s="198"/>
      <c r="O11" s="198"/>
      <c r="P11" s="198"/>
      <c r="Q11" s="25">
        <f>W11+X11</f>
        <v>6552000</v>
      </c>
      <c r="R11" s="198"/>
      <c r="S11" s="25"/>
      <c r="T11" s="198"/>
      <c r="U11" s="25"/>
      <c r="V11" s="208">
        <v>907</v>
      </c>
      <c r="W11" s="197"/>
      <c r="X11" s="214">
        <v>6552000</v>
      </c>
      <c r="Y11" s="197"/>
      <c r="Z11" s="198"/>
      <c r="AA11" s="197"/>
      <c r="AB11" s="198"/>
    </row>
    <row r="12" spans="1:28" ht="15.6" customHeight="1" x14ac:dyDescent="0.3">
      <c r="A12" s="222" t="s">
        <v>37</v>
      </c>
      <c r="B12" s="223" t="s">
        <v>25</v>
      </c>
      <c r="C12" s="15">
        <f t="shared" ref="C12:J12" si="13">SUM(C13:C28)</f>
        <v>99365.099999999991</v>
      </c>
      <c r="D12" s="15">
        <f t="shared" si="13"/>
        <v>0</v>
      </c>
      <c r="E12" s="15">
        <f t="shared" si="13"/>
        <v>99365090.670000002</v>
      </c>
      <c r="F12" s="15">
        <f t="shared" si="13"/>
        <v>66849.586620000002</v>
      </c>
      <c r="G12" s="15">
        <f t="shared" si="13"/>
        <v>8.6620000003062358E-2</v>
      </c>
      <c r="H12" s="15">
        <f t="shared" si="13"/>
        <v>0</v>
      </c>
      <c r="I12" s="15">
        <f>SUM(I13:I28)</f>
        <v>59336</v>
      </c>
      <c r="J12" s="15">
        <f t="shared" si="13"/>
        <v>0</v>
      </c>
      <c r="K12" s="224">
        <v>0</v>
      </c>
      <c r="L12" s="24">
        <f>SUM(L13:L28)</f>
        <v>148264346.09999999</v>
      </c>
      <c r="M12" s="24">
        <f>SUM(M13:M28)</f>
        <v>148254346.09999999</v>
      </c>
      <c r="N12" s="24">
        <f>SUM(N13:N28)</f>
        <v>2</v>
      </c>
      <c r="O12" s="24"/>
      <c r="P12" s="24"/>
      <c r="Q12" s="24">
        <f>SUM(Q13:Q28)</f>
        <v>160804507.09999999</v>
      </c>
      <c r="R12" s="24">
        <f t="shared" ref="R12:AB12" si="14">SUM(R13:R28)</f>
        <v>91677161.789999992</v>
      </c>
      <c r="S12" s="24">
        <f t="shared" si="14"/>
        <v>148159118.28999999</v>
      </c>
      <c r="T12" s="24">
        <f t="shared" si="14"/>
        <v>60972109</v>
      </c>
      <c r="U12" s="24">
        <f t="shared" si="14"/>
        <v>102657764.75000001</v>
      </c>
      <c r="V12" s="24"/>
      <c r="W12" s="24">
        <f t="shared" si="14"/>
        <v>70005813.969999999</v>
      </c>
      <c r="X12" s="24">
        <f t="shared" si="14"/>
        <v>90798693.129999995</v>
      </c>
      <c r="Y12" s="24">
        <f t="shared" si="14"/>
        <v>84122000.739999995</v>
      </c>
      <c r="Z12" s="24">
        <f t="shared" si="14"/>
        <v>64037117.550000004</v>
      </c>
      <c r="AA12" s="24">
        <f t="shared" si="14"/>
        <v>37327783.890000001</v>
      </c>
      <c r="AB12" s="24">
        <f t="shared" si="14"/>
        <v>65329980.859999999</v>
      </c>
    </row>
    <row r="13" spans="1:28" ht="37.200000000000003" customHeight="1" x14ac:dyDescent="0.3">
      <c r="A13" s="115" t="s">
        <v>66</v>
      </c>
      <c r="B13" s="30" t="s">
        <v>154</v>
      </c>
      <c r="C13" s="16">
        <v>29411</v>
      </c>
      <c r="D13" s="16"/>
      <c r="E13" s="25">
        <v>29411000</v>
      </c>
      <c r="F13" s="116">
        <f t="shared" si="11"/>
        <v>29411</v>
      </c>
      <c r="G13" s="116">
        <f t="shared" si="12"/>
        <v>0</v>
      </c>
      <c r="H13" s="114"/>
      <c r="I13" s="114">
        <v>23860</v>
      </c>
      <c r="J13" s="114"/>
      <c r="K13" s="131">
        <v>0</v>
      </c>
      <c r="L13" s="198">
        <f t="shared" ref="L13:L27" si="15">W13+X13</f>
        <v>40500000</v>
      </c>
      <c r="M13" s="198">
        <f t="shared" ref="M13:M45" si="16">L13-K13</f>
        <v>40500000</v>
      </c>
      <c r="N13" s="198">
        <v>0</v>
      </c>
      <c r="O13" s="198"/>
      <c r="P13" s="198"/>
      <c r="Q13" s="25">
        <f t="shared" si="8"/>
        <v>40500000</v>
      </c>
      <c r="R13" s="198">
        <v>30000000</v>
      </c>
      <c r="S13" s="25">
        <f t="shared" si="9"/>
        <v>30000000</v>
      </c>
      <c r="T13" s="198">
        <v>30000000</v>
      </c>
      <c r="U13" s="25">
        <f t="shared" si="10"/>
        <v>30000000</v>
      </c>
      <c r="V13" s="208">
        <v>905</v>
      </c>
      <c r="W13" s="197"/>
      <c r="X13" s="198">
        <f>30000000+4500000+6000000</f>
        <v>40500000</v>
      </c>
      <c r="Y13" s="197"/>
      <c r="Z13" s="198">
        <v>30000000</v>
      </c>
      <c r="AA13" s="197"/>
      <c r="AB13" s="198">
        <v>30000000</v>
      </c>
    </row>
    <row r="14" spans="1:28" ht="36" customHeight="1" x14ac:dyDescent="0.3">
      <c r="A14" s="115" t="s">
        <v>118</v>
      </c>
      <c r="B14" s="30" t="s">
        <v>119</v>
      </c>
      <c r="C14" s="16"/>
      <c r="D14" s="16"/>
      <c r="E14" s="25"/>
      <c r="F14" s="116"/>
      <c r="G14" s="116"/>
      <c r="H14" s="114"/>
      <c r="I14" s="114">
        <v>0</v>
      </c>
      <c r="J14" s="114"/>
      <c r="K14" s="131">
        <v>0</v>
      </c>
      <c r="L14" s="198">
        <f t="shared" si="15"/>
        <v>11250000</v>
      </c>
      <c r="M14" s="198">
        <f t="shared" si="16"/>
        <v>11250000</v>
      </c>
      <c r="N14" s="198">
        <v>0</v>
      </c>
      <c r="O14" s="198"/>
      <c r="P14" s="198"/>
      <c r="Q14" s="25">
        <f t="shared" si="8"/>
        <v>11250000</v>
      </c>
      <c r="R14" s="198">
        <v>1471000</v>
      </c>
      <c r="S14" s="25">
        <f t="shared" si="9"/>
        <v>0</v>
      </c>
      <c r="T14" s="198"/>
      <c r="U14" s="25">
        <f t="shared" si="10"/>
        <v>0</v>
      </c>
      <c r="V14" s="208">
        <v>905</v>
      </c>
      <c r="W14" s="197"/>
      <c r="X14" s="198">
        <v>11250000</v>
      </c>
      <c r="Y14" s="197"/>
      <c r="Z14" s="198"/>
      <c r="AA14" s="197"/>
      <c r="AB14" s="198"/>
    </row>
    <row r="15" spans="1:28" ht="54" customHeight="1" x14ac:dyDescent="0.3">
      <c r="A15" s="115" t="s">
        <v>174</v>
      </c>
      <c r="B15" s="117" t="s">
        <v>175</v>
      </c>
      <c r="C15" s="16">
        <v>30453.9</v>
      </c>
      <c r="D15" s="16"/>
      <c r="E15" s="25">
        <v>30453878.91</v>
      </c>
      <c r="F15" s="116"/>
      <c r="G15" s="116"/>
      <c r="H15" s="114"/>
      <c r="I15" s="114"/>
      <c r="J15" s="114"/>
      <c r="K15" s="131"/>
      <c r="L15" s="198">
        <f t="shared" si="15"/>
        <v>562510.79999999993</v>
      </c>
      <c r="M15" s="198">
        <f t="shared" si="16"/>
        <v>562510.79999999993</v>
      </c>
      <c r="N15" s="198">
        <v>0</v>
      </c>
      <c r="O15" s="198"/>
      <c r="P15" s="198"/>
      <c r="Q15" s="25">
        <f t="shared" si="8"/>
        <v>562510.79999999993</v>
      </c>
      <c r="R15" s="198">
        <v>0</v>
      </c>
      <c r="S15" s="25">
        <f t="shared" si="9"/>
        <v>0</v>
      </c>
      <c r="T15" s="198"/>
      <c r="U15" s="25">
        <f t="shared" si="10"/>
        <v>0</v>
      </c>
      <c r="V15" s="208">
        <v>906</v>
      </c>
      <c r="W15" s="197">
        <v>556885.68999999994</v>
      </c>
      <c r="X15" s="198">
        <v>5625.11</v>
      </c>
      <c r="Y15" s="197"/>
      <c r="Z15" s="198"/>
      <c r="AA15" s="197"/>
      <c r="AB15" s="198"/>
    </row>
    <row r="16" spans="1:28" ht="54.75" customHeight="1" x14ac:dyDescent="0.3">
      <c r="A16" s="115" t="s">
        <v>164</v>
      </c>
      <c r="B16" s="200" t="s">
        <v>170</v>
      </c>
      <c r="C16" s="16">
        <v>212.2</v>
      </c>
      <c r="D16" s="16"/>
      <c r="E16" s="25">
        <v>212168.14</v>
      </c>
      <c r="F16" s="116"/>
      <c r="G16" s="116"/>
      <c r="H16" s="114"/>
      <c r="I16" s="114"/>
      <c r="J16" s="114"/>
      <c r="K16" s="131"/>
      <c r="L16" s="198">
        <f t="shared" si="15"/>
        <v>0</v>
      </c>
      <c r="M16" s="198">
        <f t="shared" si="16"/>
        <v>0</v>
      </c>
      <c r="N16" s="198">
        <v>0</v>
      </c>
      <c r="O16" s="198"/>
      <c r="P16" s="198"/>
      <c r="Q16" s="25">
        <f t="shared" si="8"/>
        <v>0</v>
      </c>
      <c r="R16" s="198">
        <v>0</v>
      </c>
      <c r="S16" s="25">
        <f t="shared" si="9"/>
        <v>6786727.2599999998</v>
      </c>
      <c r="T16" s="198"/>
      <c r="U16" s="25">
        <f t="shared" si="10"/>
        <v>0</v>
      </c>
      <c r="V16" s="208">
        <v>906</v>
      </c>
      <c r="W16" s="197"/>
      <c r="X16" s="198"/>
      <c r="Y16" s="197">
        <v>6718860</v>
      </c>
      <c r="Z16" s="198">
        <v>67867.259999999995</v>
      </c>
      <c r="AA16" s="197"/>
      <c r="AB16" s="198"/>
    </row>
    <row r="17" spans="1:28" ht="25.95" customHeight="1" x14ac:dyDescent="0.3">
      <c r="A17" s="115" t="s">
        <v>68</v>
      </c>
      <c r="B17" s="118" t="s">
        <v>69</v>
      </c>
      <c r="C17" s="25"/>
      <c r="D17" s="25"/>
      <c r="E17" s="25"/>
      <c r="F17" s="116"/>
      <c r="G17" s="116"/>
      <c r="H17" s="114"/>
      <c r="I17" s="114">
        <v>0</v>
      </c>
      <c r="J17" s="114"/>
      <c r="K17" s="131">
        <v>0</v>
      </c>
      <c r="L17" s="198">
        <f t="shared" si="15"/>
        <v>0</v>
      </c>
      <c r="M17" s="198">
        <f t="shared" si="16"/>
        <v>0</v>
      </c>
      <c r="N17" s="198">
        <v>0</v>
      </c>
      <c r="O17" s="198"/>
      <c r="P17" s="198"/>
      <c r="Q17" s="25">
        <f t="shared" si="8"/>
        <v>0</v>
      </c>
      <c r="R17" s="198">
        <v>0</v>
      </c>
      <c r="S17" s="25">
        <f t="shared" si="9"/>
        <v>0</v>
      </c>
      <c r="T17" s="198"/>
      <c r="U17" s="25">
        <f t="shared" si="10"/>
        <v>0</v>
      </c>
      <c r="V17" s="208">
        <v>906</v>
      </c>
      <c r="W17" s="197"/>
      <c r="X17" s="198"/>
      <c r="Y17" s="197"/>
      <c r="Z17" s="198"/>
      <c r="AA17" s="197"/>
      <c r="AB17" s="198"/>
    </row>
    <row r="18" spans="1:28" ht="26.25" customHeight="1" x14ac:dyDescent="0.3">
      <c r="A18" s="115" t="s">
        <v>195</v>
      </c>
      <c r="B18" s="165" t="s">
        <v>169</v>
      </c>
      <c r="C18" s="16"/>
      <c r="D18" s="16"/>
      <c r="E18" s="25"/>
      <c r="F18" s="116"/>
      <c r="G18" s="116"/>
      <c r="H18" s="114"/>
      <c r="I18" s="114">
        <v>0</v>
      </c>
      <c r="J18" s="114"/>
      <c r="K18" s="131">
        <v>0</v>
      </c>
      <c r="L18" s="198">
        <f>W18+X18</f>
        <v>403600</v>
      </c>
      <c r="M18" s="198">
        <f t="shared" si="16"/>
        <v>403600</v>
      </c>
      <c r="N18" s="198">
        <v>0</v>
      </c>
      <c r="O18" s="198"/>
      <c r="P18" s="198"/>
      <c r="Q18" s="25">
        <f t="shared" si="8"/>
        <v>403600</v>
      </c>
      <c r="R18" s="198">
        <v>437200</v>
      </c>
      <c r="S18" s="25">
        <f t="shared" si="9"/>
        <v>0</v>
      </c>
      <c r="T18" s="198"/>
      <c r="U18" s="25">
        <f t="shared" si="10"/>
        <v>0</v>
      </c>
      <c r="V18" s="208">
        <v>905</v>
      </c>
      <c r="W18" s="197">
        <v>399542.52</v>
      </c>
      <c r="X18" s="198">
        <v>4057.48</v>
      </c>
      <c r="Y18" s="197"/>
      <c r="Z18" s="198"/>
      <c r="AA18" s="197"/>
      <c r="AB18" s="198"/>
    </row>
    <row r="19" spans="1:28" ht="40.200000000000003" hidden="1" customHeight="1" x14ac:dyDescent="0.3">
      <c r="A19" s="115" t="s">
        <v>132</v>
      </c>
      <c r="B19" s="165" t="s">
        <v>133</v>
      </c>
      <c r="C19" s="16"/>
      <c r="D19" s="16"/>
      <c r="E19" s="25"/>
      <c r="F19" s="116"/>
      <c r="G19" s="116"/>
      <c r="H19" s="114"/>
      <c r="I19" s="114"/>
      <c r="J19" s="114"/>
      <c r="K19" s="131"/>
      <c r="L19" s="198">
        <f t="shared" ref="L19" si="17">W19+X19</f>
        <v>0</v>
      </c>
      <c r="M19" s="198">
        <f t="shared" si="16"/>
        <v>0</v>
      </c>
      <c r="N19" s="198">
        <v>1</v>
      </c>
      <c r="O19" s="198"/>
      <c r="P19" s="198"/>
      <c r="Q19" s="25">
        <f t="shared" si="8"/>
        <v>0</v>
      </c>
      <c r="R19" s="198">
        <v>0</v>
      </c>
      <c r="S19" s="25">
        <f t="shared" si="9"/>
        <v>0</v>
      </c>
      <c r="T19" s="198"/>
      <c r="U19" s="25">
        <f t="shared" si="10"/>
        <v>0</v>
      </c>
      <c r="V19" s="208">
        <v>906</v>
      </c>
      <c r="W19" s="197"/>
      <c r="X19" s="198"/>
      <c r="Y19" s="197"/>
      <c r="Z19" s="198"/>
      <c r="AA19" s="197"/>
      <c r="AB19" s="198"/>
    </row>
    <row r="20" spans="1:28" ht="50.25" customHeight="1" x14ac:dyDescent="0.3">
      <c r="A20" s="115" t="s">
        <v>190</v>
      </c>
      <c r="B20" s="165" t="s">
        <v>189</v>
      </c>
      <c r="C20" s="16"/>
      <c r="D20" s="16"/>
      <c r="E20" s="25"/>
      <c r="F20" s="116"/>
      <c r="G20" s="116"/>
      <c r="H20" s="114"/>
      <c r="I20" s="114"/>
      <c r="J20" s="114"/>
      <c r="K20" s="131"/>
      <c r="L20" s="198"/>
      <c r="M20" s="198"/>
      <c r="N20" s="198"/>
      <c r="O20" s="198"/>
      <c r="P20" s="198"/>
      <c r="Q20" s="25">
        <f t="shared" ref="Q20" si="18">W20+X20</f>
        <v>0</v>
      </c>
      <c r="R20" s="198">
        <v>1</v>
      </c>
      <c r="S20" s="25">
        <f t="shared" ref="S20" si="19">Y20+Z20</f>
        <v>19888932.699999999</v>
      </c>
      <c r="T20" s="198"/>
      <c r="U20" s="25">
        <f t="shared" ref="U20" si="20">AA20+AB20</f>
        <v>0</v>
      </c>
      <c r="V20" s="208">
        <v>906</v>
      </c>
      <c r="W20" s="197"/>
      <c r="X20" s="198"/>
      <c r="Y20" s="197">
        <v>19690043.41</v>
      </c>
      <c r="Z20" s="198">
        <v>198889.29</v>
      </c>
      <c r="AA20" s="197"/>
      <c r="AB20" s="198"/>
    </row>
    <row r="21" spans="1:28" ht="35.4" customHeight="1" x14ac:dyDescent="0.3">
      <c r="A21" s="115" t="s">
        <v>112</v>
      </c>
      <c r="B21" s="165" t="s">
        <v>113</v>
      </c>
      <c r="C21" s="16"/>
      <c r="D21" s="16"/>
      <c r="E21" s="25"/>
      <c r="F21" s="116"/>
      <c r="G21" s="116"/>
      <c r="H21" s="114"/>
      <c r="I21" s="114"/>
      <c r="J21" s="114"/>
      <c r="K21" s="131">
        <v>0</v>
      </c>
      <c r="L21" s="198">
        <f t="shared" si="15"/>
        <v>41702031.109999999</v>
      </c>
      <c r="M21" s="198">
        <f t="shared" si="16"/>
        <v>41702031.109999999</v>
      </c>
      <c r="N21" s="198">
        <v>1</v>
      </c>
      <c r="O21" s="198"/>
      <c r="P21" s="198"/>
      <c r="Q21" s="25">
        <f t="shared" si="8"/>
        <v>41702031.109999999</v>
      </c>
      <c r="R21" s="198">
        <v>36323037</v>
      </c>
      <c r="S21" s="25">
        <f t="shared" si="9"/>
        <v>41702042.219999999</v>
      </c>
      <c r="T21" s="198"/>
      <c r="U21" s="25">
        <f t="shared" si="10"/>
        <v>38186527.210000001</v>
      </c>
      <c r="V21" s="208">
        <v>906</v>
      </c>
      <c r="W21" s="197">
        <v>37531828</v>
      </c>
      <c r="X21" s="198">
        <v>4170203.11</v>
      </c>
      <c r="Y21" s="197">
        <v>37531838</v>
      </c>
      <c r="Z21" s="198">
        <v>4170204.22</v>
      </c>
      <c r="AA21" s="197">
        <v>35131605</v>
      </c>
      <c r="AB21" s="198">
        <v>3054922.21</v>
      </c>
    </row>
    <row r="22" spans="1:28" ht="30" customHeight="1" x14ac:dyDescent="0.3">
      <c r="A22" s="115" t="s">
        <v>150</v>
      </c>
      <c r="B22" s="165" t="s">
        <v>151</v>
      </c>
      <c r="C22" s="16"/>
      <c r="D22" s="16"/>
      <c r="E22" s="25"/>
      <c r="F22" s="116"/>
      <c r="G22" s="116"/>
      <c r="H22" s="114"/>
      <c r="I22" s="114"/>
      <c r="J22" s="114"/>
      <c r="K22" s="131"/>
      <c r="L22" s="198"/>
      <c r="M22" s="198"/>
      <c r="N22" s="198"/>
      <c r="O22" s="198"/>
      <c r="P22" s="198"/>
      <c r="Q22" s="25">
        <f t="shared" si="8"/>
        <v>0</v>
      </c>
      <c r="R22" s="198"/>
      <c r="S22" s="25">
        <f t="shared" si="9"/>
        <v>0</v>
      </c>
      <c r="T22" s="198">
        <v>8000000</v>
      </c>
      <c r="U22" s="25">
        <f t="shared" si="10"/>
        <v>0</v>
      </c>
      <c r="V22" s="208">
        <v>905</v>
      </c>
      <c r="W22" s="197"/>
      <c r="X22" s="198"/>
      <c r="Y22" s="197"/>
      <c r="Z22" s="198"/>
      <c r="AA22" s="197"/>
      <c r="AB22" s="198"/>
    </row>
    <row r="23" spans="1:28" ht="22.5" customHeight="1" x14ac:dyDescent="0.3">
      <c r="A23" s="119" t="s">
        <v>41</v>
      </c>
      <c r="B23" s="40" t="s">
        <v>70</v>
      </c>
      <c r="C23" s="25">
        <v>1770.5</v>
      </c>
      <c r="D23" s="25"/>
      <c r="E23" s="25">
        <v>1770457</v>
      </c>
      <c r="F23" s="116"/>
      <c r="G23" s="116"/>
      <c r="H23" s="114"/>
      <c r="I23" s="114">
        <v>2906</v>
      </c>
      <c r="J23" s="114"/>
      <c r="K23" s="131">
        <v>0</v>
      </c>
      <c r="L23" s="198">
        <f t="shared" si="15"/>
        <v>3629290.9</v>
      </c>
      <c r="M23" s="198">
        <f t="shared" si="16"/>
        <v>3629290.9</v>
      </c>
      <c r="N23" s="198">
        <v>0</v>
      </c>
      <c r="O23" s="198"/>
      <c r="P23" s="198"/>
      <c r="Q23" s="25">
        <f t="shared" si="8"/>
        <v>3629290.9</v>
      </c>
      <c r="R23" s="198">
        <v>1380921.05</v>
      </c>
      <c r="S23" s="25">
        <f t="shared" si="9"/>
        <v>2038304.8399999999</v>
      </c>
      <c r="T23" s="198"/>
      <c r="U23" s="25">
        <f t="shared" si="10"/>
        <v>2371315.54</v>
      </c>
      <c r="V23" s="208">
        <v>902</v>
      </c>
      <c r="W23" s="197">
        <v>3266316.61</v>
      </c>
      <c r="X23" s="198">
        <v>362974.29</v>
      </c>
      <c r="Y23" s="197">
        <v>1834458.69</v>
      </c>
      <c r="Z23" s="198">
        <v>203846.15</v>
      </c>
      <c r="AA23" s="197">
        <v>2134115.89</v>
      </c>
      <c r="AB23" s="198">
        <v>237199.65</v>
      </c>
    </row>
    <row r="24" spans="1:28" x14ac:dyDescent="0.3">
      <c r="A24" s="171" t="s">
        <v>38</v>
      </c>
      <c r="B24" s="30" t="s">
        <v>131</v>
      </c>
      <c r="C24" s="16">
        <v>19.2</v>
      </c>
      <c r="D24" s="16"/>
      <c r="E24" s="25">
        <v>19200</v>
      </c>
      <c r="F24" s="116">
        <f>E24/1000</f>
        <v>19.2</v>
      </c>
      <c r="G24" s="116">
        <f>F24-C24</f>
        <v>0</v>
      </c>
      <c r="H24" s="114"/>
      <c r="I24" s="114">
        <v>4024.2</v>
      </c>
      <c r="J24" s="114"/>
      <c r="K24" s="131">
        <v>0</v>
      </c>
      <c r="L24" s="198">
        <f t="shared" si="15"/>
        <v>18575928</v>
      </c>
      <c r="M24" s="198">
        <f t="shared" si="16"/>
        <v>18575928</v>
      </c>
      <c r="N24" s="198">
        <v>0</v>
      </c>
      <c r="O24" s="198"/>
      <c r="P24" s="198"/>
      <c r="Q24" s="25">
        <f t="shared" si="8"/>
        <v>18575928</v>
      </c>
      <c r="R24" s="198">
        <v>80995</v>
      </c>
      <c r="S24" s="25">
        <f t="shared" si="9"/>
        <v>91927</v>
      </c>
      <c r="T24" s="198">
        <v>26139</v>
      </c>
      <c r="U24" s="25">
        <f>AA24+AB24</f>
        <v>93599</v>
      </c>
      <c r="V24" s="208">
        <v>907</v>
      </c>
      <c r="W24" s="197">
        <f>59209+16659126</f>
        <v>16718335</v>
      </c>
      <c r="X24" s="198">
        <f>6579+1851014</f>
        <v>1857593</v>
      </c>
      <c r="Y24" s="197">
        <v>59209</v>
      </c>
      <c r="Z24" s="198">
        <f>26139+6579</f>
        <v>32718</v>
      </c>
      <c r="AA24" s="197">
        <v>62063</v>
      </c>
      <c r="AB24" s="198">
        <f>26139+5397</f>
        <v>31536</v>
      </c>
    </row>
    <row r="25" spans="1:28" ht="59.25" hidden="1" customHeight="1" x14ac:dyDescent="0.3">
      <c r="A25" s="115" t="s">
        <v>78</v>
      </c>
      <c r="B25" s="118" t="s">
        <v>125</v>
      </c>
      <c r="C25" s="25">
        <v>10592.8</v>
      </c>
      <c r="D25" s="25"/>
      <c r="E25" s="25">
        <v>10592830</v>
      </c>
      <c r="F25" s="116">
        <f>E25/1000</f>
        <v>10592.83</v>
      </c>
      <c r="G25" s="116">
        <f>F25-C25</f>
        <v>3.0000000000654836E-2</v>
      </c>
      <c r="H25" s="114"/>
      <c r="I25" s="114">
        <v>5000</v>
      </c>
      <c r="J25" s="114"/>
      <c r="K25" s="131">
        <v>10000</v>
      </c>
      <c r="L25" s="198">
        <f t="shared" si="15"/>
        <v>0</v>
      </c>
      <c r="M25" s="198">
        <f t="shared" si="16"/>
        <v>-10000</v>
      </c>
      <c r="N25" s="198">
        <v>0</v>
      </c>
      <c r="O25" s="198"/>
      <c r="P25" s="198"/>
      <c r="Q25" s="25">
        <f t="shared" si="8"/>
        <v>0</v>
      </c>
      <c r="R25" s="198">
        <v>0</v>
      </c>
      <c r="S25" s="25">
        <f t="shared" si="9"/>
        <v>0</v>
      </c>
      <c r="T25" s="198"/>
      <c r="U25" s="25">
        <f t="shared" si="10"/>
        <v>0</v>
      </c>
      <c r="V25" s="208" t="s">
        <v>61</v>
      </c>
      <c r="W25" s="197"/>
      <c r="X25" s="198"/>
      <c r="Y25" s="197"/>
      <c r="Z25" s="198"/>
      <c r="AA25" s="197"/>
      <c r="AB25" s="198"/>
    </row>
    <row r="26" spans="1:28" ht="27.75" customHeight="1" x14ac:dyDescent="0.3">
      <c r="A26" s="171" t="s">
        <v>39</v>
      </c>
      <c r="B26" s="30" t="s">
        <v>59</v>
      </c>
      <c r="C26" s="25">
        <v>19852.8</v>
      </c>
      <c r="D26" s="25"/>
      <c r="E26" s="25">
        <v>19852840.23</v>
      </c>
      <c r="F26" s="116">
        <f t="shared" si="11"/>
        <v>19852.840230000002</v>
      </c>
      <c r="G26" s="116">
        <f t="shared" si="12"/>
        <v>4.0230000002338784E-2</v>
      </c>
      <c r="H26" s="114"/>
      <c r="I26" s="114">
        <v>17176</v>
      </c>
      <c r="J26" s="114"/>
      <c r="K26" s="131">
        <v>0</v>
      </c>
      <c r="L26" s="198">
        <f t="shared" si="15"/>
        <v>11649400.41</v>
      </c>
      <c r="M26" s="198">
        <f t="shared" si="16"/>
        <v>11649400.41</v>
      </c>
      <c r="N26" s="198">
        <v>0</v>
      </c>
      <c r="O26" s="198"/>
      <c r="P26" s="198"/>
      <c r="Q26" s="25">
        <f t="shared" si="8"/>
        <v>11649400.41</v>
      </c>
      <c r="R26" s="198">
        <v>16941187.739999998</v>
      </c>
      <c r="S26" s="25">
        <f t="shared" si="9"/>
        <v>18472315.27</v>
      </c>
      <c r="T26" s="198"/>
      <c r="U26" s="25">
        <f t="shared" si="10"/>
        <v>0</v>
      </c>
      <c r="V26" s="208">
        <v>905</v>
      </c>
      <c r="W26" s="116">
        <v>11532906.15</v>
      </c>
      <c r="X26" s="198">
        <v>116494.26</v>
      </c>
      <c r="Y26" s="197">
        <v>18287591.640000001</v>
      </c>
      <c r="Z26" s="198">
        <v>184723.63</v>
      </c>
      <c r="AA26" s="197"/>
      <c r="AB26" s="198"/>
    </row>
    <row r="27" spans="1:28" ht="24.6" x14ac:dyDescent="0.3">
      <c r="A27" s="119" t="s">
        <v>40</v>
      </c>
      <c r="B27" s="120" t="s">
        <v>24</v>
      </c>
      <c r="C27" s="25"/>
      <c r="D27" s="25"/>
      <c r="E27" s="25"/>
      <c r="F27" s="116">
        <f t="shared" si="11"/>
        <v>0</v>
      </c>
      <c r="G27" s="116">
        <f t="shared" si="12"/>
        <v>0</v>
      </c>
      <c r="H27" s="114"/>
      <c r="I27" s="114"/>
      <c r="J27" s="114"/>
      <c r="K27" s="131">
        <v>0</v>
      </c>
      <c r="L27" s="198">
        <f t="shared" si="15"/>
        <v>0</v>
      </c>
      <c r="M27" s="198">
        <f t="shared" si="16"/>
        <v>0</v>
      </c>
      <c r="N27" s="198">
        <v>0</v>
      </c>
      <c r="O27" s="198"/>
      <c r="P27" s="198"/>
      <c r="Q27" s="25">
        <f t="shared" si="8"/>
        <v>0</v>
      </c>
      <c r="R27" s="198">
        <v>0</v>
      </c>
      <c r="S27" s="25">
        <f t="shared" si="9"/>
        <v>0</v>
      </c>
      <c r="T27" s="198"/>
      <c r="U27" s="25">
        <f t="shared" si="10"/>
        <v>0</v>
      </c>
      <c r="V27" s="208"/>
      <c r="W27" s="197"/>
      <c r="X27" s="198"/>
      <c r="Y27" s="197"/>
      <c r="Z27" s="198"/>
      <c r="AA27" s="197"/>
      <c r="AB27" s="198"/>
    </row>
    <row r="28" spans="1:28" x14ac:dyDescent="0.3">
      <c r="A28" s="222" t="s">
        <v>42</v>
      </c>
      <c r="B28" s="226" t="s">
        <v>20</v>
      </c>
      <c r="C28" s="24">
        <f>C29+C30+C34+C36+C42+C31+C35+C43+C44+C45</f>
        <v>7052.7</v>
      </c>
      <c r="D28" s="24">
        <f>D29+D30+D34+D36+D42+D31+D35+D43+D44+D45</f>
        <v>0</v>
      </c>
      <c r="E28" s="24">
        <f>E29+E30+E34+E36+E42+E31+E35+E43+E44+E45</f>
        <v>7052716.3899999997</v>
      </c>
      <c r="F28" s="24">
        <f>F29+F30+F34+F36+F42+F31+F35+F43+F44+F45</f>
        <v>6973.7163900000005</v>
      </c>
      <c r="G28" s="24">
        <f>G29+G30+G34+G36+G42+G31+G35+G43+G44+G45</f>
        <v>1.6390000000068738E-2</v>
      </c>
      <c r="H28" s="15">
        <f t="shared" ref="H28:N28" si="21">SUM(H29:H45)</f>
        <v>0</v>
      </c>
      <c r="I28" s="15">
        <f t="shared" si="21"/>
        <v>6369.8</v>
      </c>
      <c r="J28" s="15">
        <f t="shared" si="21"/>
        <v>0</v>
      </c>
      <c r="K28" s="224">
        <f t="shared" si="21"/>
        <v>0</v>
      </c>
      <c r="L28" s="24">
        <f t="shared" si="21"/>
        <v>19991584.880000003</v>
      </c>
      <c r="M28" s="225">
        <f t="shared" si="16"/>
        <v>19991584.880000003</v>
      </c>
      <c r="N28" s="24">
        <f t="shared" si="21"/>
        <v>0</v>
      </c>
      <c r="O28" s="24"/>
      <c r="P28" s="24"/>
      <c r="Q28" s="24">
        <f>SUM(Q29:Q45)</f>
        <v>32531745.879999999</v>
      </c>
      <c r="R28" s="24">
        <f t="shared" ref="R28:AB28" si="22">SUM(R29:R45)</f>
        <v>5042820</v>
      </c>
      <c r="S28" s="24">
        <f t="shared" si="22"/>
        <v>29178869</v>
      </c>
      <c r="T28" s="24">
        <f t="shared" si="22"/>
        <v>22945970</v>
      </c>
      <c r="U28" s="24">
        <f t="shared" si="22"/>
        <v>32006323</v>
      </c>
      <c r="V28" s="24">
        <f t="shared" si="22"/>
        <v>13567</v>
      </c>
      <c r="W28" s="24">
        <f t="shared" si="22"/>
        <v>0</v>
      </c>
      <c r="X28" s="24">
        <f t="shared" si="22"/>
        <v>32531745.879999999</v>
      </c>
      <c r="Y28" s="24">
        <f t="shared" si="22"/>
        <v>0</v>
      </c>
      <c r="Z28" s="24">
        <f t="shared" si="22"/>
        <v>29178869</v>
      </c>
      <c r="AA28" s="24">
        <f t="shared" si="22"/>
        <v>0</v>
      </c>
      <c r="AB28" s="24">
        <f t="shared" si="22"/>
        <v>32006323</v>
      </c>
    </row>
    <row r="29" spans="1:28" ht="14.4" customHeight="1" x14ac:dyDescent="0.3">
      <c r="A29" s="171"/>
      <c r="B29" s="30" t="s">
        <v>21</v>
      </c>
      <c r="C29" s="25">
        <f>3236+2126</f>
        <v>5362</v>
      </c>
      <c r="D29" s="25"/>
      <c r="E29" s="25">
        <f>3236000+2126000</f>
        <v>5362000</v>
      </c>
      <c r="F29" s="116">
        <f t="shared" si="11"/>
        <v>5362</v>
      </c>
      <c r="G29" s="116">
        <f t="shared" si="12"/>
        <v>0</v>
      </c>
      <c r="H29" s="114"/>
      <c r="I29" s="114">
        <v>5412</v>
      </c>
      <c r="J29" s="114"/>
      <c r="K29" s="131">
        <v>0</v>
      </c>
      <c r="L29" s="198">
        <f t="shared" ref="L29:L45" si="23">W29+X29</f>
        <v>2314762</v>
      </c>
      <c r="M29" s="198">
        <f t="shared" si="16"/>
        <v>2314762</v>
      </c>
      <c r="N29" s="198">
        <v>0</v>
      </c>
      <c r="O29" s="198"/>
      <c r="P29" s="198"/>
      <c r="Q29" s="25">
        <f>W29+X29</f>
        <v>2314762</v>
      </c>
      <c r="R29" s="198">
        <v>1173820</v>
      </c>
      <c r="S29" s="25">
        <f t="shared" si="9"/>
        <v>1157381</v>
      </c>
      <c r="T29" s="198">
        <v>1157381</v>
      </c>
      <c r="U29" s="25">
        <f t="shared" si="10"/>
        <v>1157381</v>
      </c>
      <c r="V29" s="208">
        <v>906</v>
      </c>
      <c r="W29" s="197"/>
      <c r="X29" s="198">
        <f>2314762</f>
        <v>2314762</v>
      </c>
      <c r="Y29" s="197"/>
      <c r="Z29" s="198">
        <f>1157381</f>
        <v>1157381</v>
      </c>
      <c r="AA29" s="197"/>
      <c r="AB29" s="198">
        <f>1157381</f>
        <v>1157381</v>
      </c>
    </row>
    <row r="30" spans="1:28" ht="16.2" customHeight="1" x14ac:dyDescent="0.3">
      <c r="A30" s="171"/>
      <c r="B30" s="30" t="s">
        <v>123</v>
      </c>
      <c r="C30" s="25">
        <v>500</v>
      </c>
      <c r="D30" s="25"/>
      <c r="E30" s="25">
        <v>500000</v>
      </c>
      <c r="F30" s="116">
        <f t="shared" si="11"/>
        <v>500</v>
      </c>
      <c r="G30" s="116">
        <f t="shared" si="12"/>
        <v>0</v>
      </c>
      <c r="H30" s="114"/>
      <c r="I30" s="114">
        <v>543.79999999999995</v>
      </c>
      <c r="J30" s="114"/>
      <c r="K30" s="131">
        <v>0</v>
      </c>
      <c r="L30" s="198">
        <f t="shared" si="23"/>
        <v>7945000</v>
      </c>
      <c r="M30" s="198">
        <f t="shared" si="16"/>
        <v>7945000</v>
      </c>
      <c r="N30" s="198">
        <v>0</v>
      </c>
      <c r="O30" s="198"/>
      <c r="P30" s="198"/>
      <c r="Q30" s="25">
        <f t="shared" si="8"/>
        <v>7945000</v>
      </c>
      <c r="R30" s="198">
        <v>1700000</v>
      </c>
      <c r="S30" s="25">
        <f t="shared" si="9"/>
        <v>4295000</v>
      </c>
      <c r="T30" s="198">
        <v>4295000</v>
      </c>
      <c r="U30" s="25">
        <f t="shared" si="10"/>
        <v>3795000</v>
      </c>
      <c r="V30" s="208">
        <v>906</v>
      </c>
      <c r="W30" s="197"/>
      <c r="X30" s="198">
        <v>7945000</v>
      </c>
      <c r="Y30" s="197"/>
      <c r="Z30" s="198">
        <v>4295000</v>
      </c>
      <c r="AA30" s="197"/>
      <c r="AB30" s="198">
        <v>3795000</v>
      </c>
    </row>
    <row r="31" spans="1:28" ht="23.25" customHeight="1" x14ac:dyDescent="0.3">
      <c r="A31" s="171"/>
      <c r="B31" s="40" t="s">
        <v>120</v>
      </c>
      <c r="C31" s="25"/>
      <c r="D31" s="25"/>
      <c r="E31" s="25"/>
      <c r="F31" s="116">
        <f t="shared" si="11"/>
        <v>0</v>
      </c>
      <c r="G31" s="116">
        <f t="shared" si="12"/>
        <v>0</v>
      </c>
      <c r="H31" s="114"/>
      <c r="I31" s="114"/>
      <c r="J31" s="114"/>
      <c r="K31" s="131">
        <v>0</v>
      </c>
      <c r="L31" s="198">
        <f t="shared" si="23"/>
        <v>0</v>
      </c>
      <c r="M31" s="198">
        <f t="shared" si="16"/>
        <v>0</v>
      </c>
      <c r="N31" s="198">
        <v>0</v>
      </c>
      <c r="O31" s="198"/>
      <c r="P31" s="198"/>
      <c r="Q31" s="25">
        <f t="shared" si="8"/>
        <v>0</v>
      </c>
      <c r="R31" s="198">
        <v>0</v>
      </c>
      <c r="S31" s="25">
        <f t="shared" si="9"/>
        <v>1767100</v>
      </c>
      <c r="T31" s="198">
        <v>1767100</v>
      </c>
      <c r="U31" s="25">
        <f t="shared" si="10"/>
        <v>0</v>
      </c>
      <c r="V31" s="208">
        <v>905</v>
      </c>
      <c r="W31" s="197"/>
      <c r="X31" s="198"/>
      <c r="Y31" s="197"/>
      <c r="Z31" s="198">
        <v>1767100</v>
      </c>
      <c r="AA31" s="197"/>
      <c r="AB31" s="198"/>
    </row>
    <row r="32" spans="1:28" ht="36.75" customHeight="1" x14ac:dyDescent="0.3">
      <c r="A32" s="171"/>
      <c r="B32" s="209" t="s">
        <v>193</v>
      </c>
      <c r="C32" s="25"/>
      <c r="D32" s="25"/>
      <c r="E32" s="25"/>
      <c r="F32" s="116"/>
      <c r="G32" s="116"/>
      <c r="H32" s="114"/>
      <c r="I32" s="114"/>
      <c r="J32" s="114"/>
      <c r="K32" s="131"/>
      <c r="L32" s="198"/>
      <c r="M32" s="198"/>
      <c r="N32" s="198"/>
      <c r="O32" s="198"/>
      <c r="P32" s="198"/>
      <c r="Q32" s="25">
        <f t="shared" si="8"/>
        <v>0</v>
      </c>
      <c r="R32" s="198"/>
      <c r="S32" s="25">
        <f t="shared" ref="S32" si="24">Y32+Z32</f>
        <v>8000000</v>
      </c>
      <c r="T32" s="198">
        <v>1767101</v>
      </c>
      <c r="U32" s="25">
        <f t="shared" ref="U32" si="25">AA32+AB32</f>
        <v>21010000</v>
      </c>
      <c r="V32" s="208">
        <v>905</v>
      </c>
      <c r="W32" s="197"/>
      <c r="X32" s="198"/>
      <c r="Y32" s="197"/>
      <c r="Z32" s="198">
        <v>8000000</v>
      </c>
      <c r="AA32" s="197"/>
      <c r="AB32" s="198">
        <v>21010000</v>
      </c>
    </row>
    <row r="33" spans="1:28" ht="24.6" x14ac:dyDescent="0.3">
      <c r="A33" s="171"/>
      <c r="B33" s="121" t="s">
        <v>88</v>
      </c>
      <c r="C33" s="25"/>
      <c r="D33" s="25"/>
      <c r="E33" s="25"/>
      <c r="F33" s="116"/>
      <c r="G33" s="116"/>
      <c r="H33" s="114"/>
      <c r="I33" s="114"/>
      <c r="J33" s="114"/>
      <c r="K33" s="131">
        <v>0</v>
      </c>
      <c r="L33" s="198">
        <f t="shared" si="23"/>
        <v>5001000</v>
      </c>
      <c r="M33" s="198">
        <f t="shared" si="16"/>
        <v>5001000</v>
      </c>
      <c r="N33" s="198">
        <v>0</v>
      </c>
      <c r="O33" s="198"/>
      <c r="P33" s="198"/>
      <c r="Q33" s="25">
        <f t="shared" si="8"/>
        <v>5001000</v>
      </c>
      <c r="R33" s="198">
        <v>1500000</v>
      </c>
      <c r="S33" s="25">
        <f t="shared" si="9"/>
        <v>2701000</v>
      </c>
      <c r="T33" s="198">
        <v>2701000</v>
      </c>
      <c r="U33" s="25">
        <f t="shared" si="10"/>
        <v>2988900</v>
      </c>
      <c r="V33" s="208">
        <v>906</v>
      </c>
      <c r="W33" s="197"/>
      <c r="X33" s="198">
        <v>5001000</v>
      </c>
      <c r="Y33" s="197"/>
      <c r="Z33" s="198">
        <v>2701000</v>
      </c>
      <c r="AA33" s="197"/>
      <c r="AB33" s="198">
        <v>2988900</v>
      </c>
    </row>
    <row r="34" spans="1:28" ht="15" customHeight="1" x14ac:dyDescent="0.3">
      <c r="A34" s="171"/>
      <c r="B34" s="30" t="s">
        <v>89</v>
      </c>
      <c r="C34" s="25">
        <v>508.9</v>
      </c>
      <c r="D34" s="25"/>
      <c r="E34" s="25">
        <v>508947.39</v>
      </c>
      <c r="F34" s="116">
        <f t="shared" si="11"/>
        <v>508.94739000000004</v>
      </c>
      <c r="G34" s="116">
        <f t="shared" si="12"/>
        <v>4.7390000000063992E-2</v>
      </c>
      <c r="H34" s="114"/>
      <c r="I34" s="114">
        <v>111</v>
      </c>
      <c r="J34" s="114"/>
      <c r="K34" s="131">
        <v>0</v>
      </c>
      <c r="L34" s="198">
        <f t="shared" si="23"/>
        <v>182000</v>
      </c>
      <c r="M34" s="198">
        <f t="shared" si="16"/>
        <v>182000</v>
      </c>
      <c r="N34" s="198">
        <v>0</v>
      </c>
      <c r="O34" s="198"/>
      <c r="P34" s="198"/>
      <c r="Q34" s="25">
        <f t="shared" si="8"/>
        <v>182000</v>
      </c>
      <c r="R34" s="198">
        <v>109000</v>
      </c>
      <c r="S34" s="25">
        <f t="shared" si="9"/>
        <v>109000</v>
      </c>
      <c r="T34" s="198">
        <v>109000</v>
      </c>
      <c r="U34" s="25">
        <f t="shared" si="10"/>
        <v>109000</v>
      </c>
      <c r="V34" s="208">
        <v>902</v>
      </c>
      <c r="W34" s="197"/>
      <c r="X34" s="198">
        <v>182000</v>
      </c>
      <c r="Y34" s="197"/>
      <c r="Z34" s="198">
        <v>109000</v>
      </c>
      <c r="AA34" s="197"/>
      <c r="AB34" s="198">
        <v>109000</v>
      </c>
    </row>
    <row r="35" spans="1:28" ht="42.75" customHeight="1" x14ac:dyDescent="0.3">
      <c r="A35" s="171"/>
      <c r="B35" s="30" t="s">
        <v>31</v>
      </c>
      <c r="C35" s="16">
        <v>31.3</v>
      </c>
      <c r="D35" s="16"/>
      <c r="E35" s="25">
        <v>31250</v>
      </c>
      <c r="F35" s="116">
        <f t="shared" si="11"/>
        <v>31.25</v>
      </c>
      <c r="G35" s="116">
        <f t="shared" si="12"/>
        <v>-5.0000000000000711E-2</v>
      </c>
      <c r="H35" s="114"/>
      <c r="I35" s="114">
        <v>32</v>
      </c>
      <c r="J35" s="114"/>
      <c r="K35" s="131">
        <v>0</v>
      </c>
      <c r="L35" s="198">
        <f t="shared" si="23"/>
        <v>144000</v>
      </c>
      <c r="M35" s="198">
        <f t="shared" si="16"/>
        <v>144000</v>
      </c>
      <c r="N35" s="198">
        <v>0</v>
      </c>
      <c r="O35" s="198"/>
      <c r="P35" s="198"/>
      <c r="Q35" s="25">
        <f t="shared" si="8"/>
        <v>144000</v>
      </c>
      <c r="R35" s="198">
        <v>105000</v>
      </c>
      <c r="S35" s="25">
        <f t="shared" si="9"/>
        <v>144000</v>
      </c>
      <c r="T35" s="198">
        <v>144000</v>
      </c>
      <c r="U35" s="25">
        <f t="shared" si="10"/>
        <v>144000</v>
      </c>
      <c r="V35" s="208">
        <v>902</v>
      </c>
      <c r="W35" s="197"/>
      <c r="X35" s="198">
        <v>144000</v>
      </c>
      <c r="Y35" s="197"/>
      <c r="Z35" s="198">
        <v>144000</v>
      </c>
      <c r="AA35" s="197"/>
      <c r="AB35" s="198">
        <v>144000</v>
      </c>
    </row>
    <row r="36" spans="1:28" ht="24" x14ac:dyDescent="0.3">
      <c r="A36" s="171"/>
      <c r="B36" s="165" t="s">
        <v>28</v>
      </c>
      <c r="C36" s="16">
        <v>571.5</v>
      </c>
      <c r="D36" s="16"/>
      <c r="E36" s="25">
        <v>571519</v>
      </c>
      <c r="F36" s="116">
        <f t="shared" si="11"/>
        <v>571.51900000000001</v>
      </c>
      <c r="G36" s="116">
        <f t="shared" si="12"/>
        <v>1.9000000000005457E-2</v>
      </c>
      <c r="H36" s="114"/>
      <c r="I36" s="114">
        <v>271</v>
      </c>
      <c r="J36" s="114"/>
      <c r="K36" s="131">
        <v>0</v>
      </c>
      <c r="L36" s="198">
        <f t="shared" si="23"/>
        <v>387324</v>
      </c>
      <c r="M36" s="198">
        <f t="shared" si="16"/>
        <v>387324</v>
      </c>
      <c r="N36" s="198">
        <v>0</v>
      </c>
      <c r="O36" s="198"/>
      <c r="P36" s="198"/>
      <c r="Q36" s="25">
        <f t="shared" si="8"/>
        <v>387324</v>
      </c>
      <c r="R36" s="198">
        <v>455000</v>
      </c>
      <c r="S36" s="25">
        <f t="shared" si="9"/>
        <v>387324</v>
      </c>
      <c r="T36" s="198">
        <v>387324</v>
      </c>
      <c r="U36" s="25">
        <f t="shared" si="10"/>
        <v>387324</v>
      </c>
      <c r="V36" s="208">
        <v>902</v>
      </c>
      <c r="W36" s="197"/>
      <c r="X36" s="198">
        <v>387324</v>
      </c>
      <c r="Y36" s="197"/>
      <c r="Z36" s="198">
        <v>387324</v>
      </c>
      <c r="AA36" s="197"/>
      <c r="AB36" s="198">
        <v>387324</v>
      </c>
    </row>
    <row r="37" spans="1:28" ht="24" x14ac:dyDescent="0.3">
      <c r="A37" s="171"/>
      <c r="B37" s="165" t="s">
        <v>157</v>
      </c>
      <c r="C37" s="16"/>
      <c r="D37" s="16"/>
      <c r="E37" s="25"/>
      <c r="F37" s="116"/>
      <c r="G37" s="116"/>
      <c r="H37" s="114"/>
      <c r="I37" s="114"/>
      <c r="J37" s="114"/>
      <c r="K37" s="131"/>
      <c r="L37" s="198"/>
      <c r="M37" s="198"/>
      <c r="N37" s="198"/>
      <c r="O37" s="198"/>
      <c r="P37" s="198"/>
      <c r="Q37" s="25">
        <f t="shared" si="8"/>
        <v>0</v>
      </c>
      <c r="R37" s="198"/>
      <c r="S37" s="25">
        <f t="shared" si="9"/>
        <v>5000000</v>
      </c>
      <c r="T37" s="198">
        <v>5000000</v>
      </c>
      <c r="U37" s="25">
        <f t="shared" si="10"/>
        <v>0</v>
      </c>
      <c r="V37" s="208">
        <v>902</v>
      </c>
      <c r="W37" s="197"/>
      <c r="X37" s="198">
        <v>0</v>
      </c>
      <c r="Y37" s="197"/>
      <c r="Z37" s="198">
        <v>5000000</v>
      </c>
      <c r="AA37" s="197"/>
      <c r="AB37" s="198"/>
    </row>
    <row r="38" spans="1:28" ht="24" x14ac:dyDescent="0.3">
      <c r="A38" s="171"/>
      <c r="B38" s="165" t="s">
        <v>155</v>
      </c>
      <c r="C38" s="16"/>
      <c r="D38" s="16"/>
      <c r="E38" s="25"/>
      <c r="F38" s="116"/>
      <c r="G38" s="116"/>
      <c r="H38" s="114"/>
      <c r="I38" s="114"/>
      <c r="J38" s="114"/>
      <c r="K38" s="131"/>
      <c r="L38" s="198"/>
      <c r="M38" s="198"/>
      <c r="N38" s="198"/>
      <c r="O38" s="198"/>
      <c r="P38" s="198"/>
      <c r="Q38" s="25">
        <f t="shared" si="8"/>
        <v>10000000</v>
      </c>
      <c r="R38" s="198"/>
      <c r="S38" s="25">
        <f t="shared" si="9"/>
        <v>5000000</v>
      </c>
      <c r="T38" s="198">
        <v>5000000</v>
      </c>
      <c r="U38" s="25">
        <f t="shared" si="10"/>
        <v>0</v>
      </c>
      <c r="V38" s="208">
        <v>902</v>
      </c>
      <c r="W38" s="197"/>
      <c r="X38" s="198">
        <v>10000000</v>
      </c>
      <c r="Y38" s="197"/>
      <c r="Z38" s="198">
        <v>5000000</v>
      </c>
      <c r="AA38" s="197"/>
      <c r="AB38" s="198"/>
    </row>
    <row r="39" spans="1:28" ht="24" x14ac:dyDescent="0.3">
      <c r="A39" s="171"/>
      <c r="B39" s="165" t="s">
        <v>156</v>
      </c>
      <c r="C39" s="16"/>
      <c r="D39" s="16"/>
      <c r="E39" s="25"/>
      <c r="F39" s="116"/>
      <c r="G39" s="116"/>
      <c r="H39" s="114"/>
      <c r="I39" s="114"/>
      <c r="J39" s="114"/>
      <c r="K39" s="131"/>
      <c r="L39" s="198"/>
      <c r="M39" s="198"/>
      <c r="N39" s="198"/>
      <c r="O39" s="198"/>
      <c r="P39" s="198"/>
      <c r="Q39" s="25">
        <f t="shared" si="8"/>
        <v>600000</v>
      </c>
      <c r="R39" s="198"/>
      <c r="S39" s="25">
        <f t="shared" si="9"/>
        <v>600000</v>
      </c>
      <c r="T39" s="198">
        <v>600000</v>
      </c>
      <c r="U39" s="25">
        <f t="shared" si="10"/>
        <v>600000</v>
      </c>
      <c r="V39" s="208">
        <v>906</v>
      </c>
      <c r="W39" s="197"/>
      <c r="X39" s="198">
        <v>600000</v>
      </c>
      <c r="Y39" s="197"/>
      <c r="Z39" s="198">
        <v>600000</v>
      </c>
      <c r="AA39" s="197"/>
      <c r="AB39" s="198">
        <v>600000</v>
      </c>
    </row>
    <row r="40" spans="1:28" ht="24" x14ac:dyDescent="0.3">
      <c r="A40" s="171"/>
      <c r="B40" s="165" t="s">
        <v>153</v>
      </c>
      <c r="C40" s="16"/>
      <c r="D40" s="16"/>
      <c r="E40" s="25"/>
      <c r="F40" s="116"/>
      <c r="G40" s="116"/>
      <c r="H40" s="114"/>
      <c r="I40" s="114"/>
      <c r="J40" s="114"/>
      <c r="K40" s="131"/>
      <c r="L40" s="198"/>
      <c r="M40" s="198"/>
      <c r="N40" s="198"/>
      <c r="O40" s="198"/>
      <c r="P40" s="198"/>
      <c r="Q40" s="25">
        <f t="shared" si="8"/>
        <v>0</v>
      </c>
      <c r="R40" s="198"/>
      <c r="S40" s="25">
        <f t="shared" si="9"/>
        <v>0</v>
      </c>
      <c r="T40" s="198"/>
      <c r="U40" s="25">
        <f t="shared" si="10"/>
        <v>1814718</v>
      </c>
      <c r="V40" s="208">
        <v>904</v>
      </c>
      <c r="W40" s="197"/>
      <c r="X40" s="198"/>
      <c r="Y40" s="197"/>
      <c r="Z40" s="198"/>
      <c r="AA40" s="197"/>
      <c r="AB40" s="198">
        <v>1814718</v>
      </c>
    </row>
    <row r="41" spans="1:28" ht="24" x14ac:dyDescent="0.3">
      <c r="A41" s="171"/>
      <c r="B41" s="30" t="s">
        <v>196</v>
      </c>
      <c r="C41" s="16"/>
      <c r="D41" s="16"/>
      <c r="E41" s="25"/>
      <c r="F41" s="116"/>
      <c r="G41" s="116"/>
      <c r="H41" s="114"/>
      <c r="I41" s="114"/>
      <c r="J41" s="114"/>
      <c r="K41" s="131"/>
      <c r="L41" s="198"/>
      <c r="M41" s="198"/>
      <c r="N41" s="198"/>
      <c r="O41" s="198"/>
      <c r="P41" s="198"/>
      <c r="Q41" s="25">
        <f t="shared" ref="Q41" si="26">W41+X41</f>
        <v>1940161</v>
      </c>
      <c r="R41" s="198"/>
      <c r="S41" s="25">
        <f t="shared" ref="S41" si="27">Y41+Z41</f>
        <v>0</v>
      </c>
      <c r="T41" s="198"/>
      <c r="U41" s="25">
        <f t="shared" ref="U41" si="28">AA41+AB41</f>
        <v>0</v>
      </c>
      <c r="V41" s="208">
        <v>907</v>
      </c>
      <c r="W41" s="197"/>
      <c r="X41" s="198">
        <v>1940161</v>
      </c>
      <c r="Y41" s="197"/>
      <c r="Z41" s="198"/>
      <c r="AA41" s="197"/>
      <c r="AB41" s="198"/>
    </row>
    <row r="42" spans="1:28" ht="37.5" customHeight="1" x14ac:dyDescent="0.3">
      <c r="A42" s="171"/>
      <c r="B42" s="165" t="s">
        <v>191</v>
      </c>
      <c r="C42" s="16"/>
      <c r="D42" s="16"/>
      <c r="E42" s="25"/>
      <c r="F42" s="116">
        <f t="shared" si="11"/>
        <v>0</v>
      </c>
      <c r="G42" s="116">
        <f t="shared" si="12"/>
        <v>0</v>
      </c>
      <c r="H42" s="114"/>
      <c r="I42" s="114"/>
      <c r="J42" s="114"/>
      <c r="K42" s="131"/>
      <c r="L42" s="198">
        <f t="shared" si="23"/>
        <v>17498.88</v>
      </c>
      <c r="M42" s="198">
        <f t="shared" si="16"/>
        <v>17498.88</v>
      </c>
      <c r="N42" s="198">
        <v>0</v>
      </c>
      <c r="O42" s="198"/>
      <c r="P42" s="198"/>
      <c r="Q42" s="25">
        <f t="shared" si="8"/>
        <v>17498.88</v>
      </c>
      <c r="R42" s="198">
        <v>0</v>
      </c>
      <c r="S42" s="25">
        <f t="shared" si="9"/>
        <v>18064</v>
      </c>
      <c r="T42" s="198">
        <v>18064</v>
      </c>
      <c r="U42" s="25">
        <f t="shared" si="10"/>
        <v>0</v>
      </c>
      <c r="V42" s="208">
        <v>907</v>
      </c>
      <c r="W42" s="197"/>
      <c r="X42" s="198">
        <f>18064-565.12</f>
        <v>17498.88</v>
      </c>
      <c r="Y42" s="197"/>
      <c r="Z42" s="198">
        <v>18064</v>
      </c>
      <c r="AA42" s="197"/>
      <c r="AB42" s="198"/>
    </row>
    <row r="43" spans="1:28" x14ac:dyDescent="0.3">
      <c r="A43" s="171"/>
      <c r="B43" s="165" t="s">
        <v>167</v>
      </c>
      <c r="C43" s="16"/>
      <c r="D43" s="16"/>
      <c r="E43" s="25"/>
      <c r="F43" s="116">
        <f t="shared" si="11"/>
        <v>0</v>
      </c>
      <c r="G43" s="116">
        <f t="shared" si="12"/>
        <v>0</v>
      </c>
      <c r="H43" s="114"/>
      <c r="I43" s="114"/>
      <c r="J43" s="114"/>
      <c r="K43" s="131"/>
      <c r="L43" s="198">
        <f t="shared" si="23"/>
        <v>4000000</v>
      </c>
      <c r="M43" s="198">
        <f t="shared" si="16"/>
        <v>4000000</v>
      </c>
      <c r="N43" s="198">
        <v>0</v>
      </c>
      <c r="O43" s="198"/>
      <c r="P43" s="198"/>
      <c r="Q43" s="25">
        <f t="shared" si="8"/>
        <v>4000000</v>
      </c>
      <c r="R43" s="198">
        <v>0</v>
      </c>
      <c r="S43" s="25">
        <f t="shared" si="9"/>
        <v>0</v>
      </c>
      <c r="T43" s="198"/>
      <c r="U43" s="25">
        <f t="shared" si="10"/>
        <v>0</v>
      </c>
      <c r="V43" s="208">
        <v>905</v>
      </c>
      <c r="W43" s="197"/>
      <c r="X43" s="198">
        <v>4000000</v>
      </c>
      <c r="Y43" s="197"/>
      <c r="Z43" s="198"/>
      <c r="AA43" s="197"/>
      <c r="AB43" s="198"/>
    </row>
    <row r="44" spans="1:28" ht="24" hidden="1" x14ac:dyDescent="0.3">
      <c r="A44" s="171"/>
      <c r="B44" s="165" t="s">
        <v>33</v>
      </c>
      <c r="C44" s="16"/>
      <c r="D44" s="16"/>
      <c r="E44" s="25"/>
      <c r="F44" s="116">
        <f t="shared" si="11"/>
        <v>0</v>
      </c>
      <c r="G44" s="116">
        <f t="shared" si="12"/>
        <v>0</v>
      </c>
      <c r="H44" s="114"/>
      <c r="I44" s="114"/>
      <c r="J44" s="114"/>
      <c r="K44" s="131"/>
      <c r="L44" s="198">
        <f t="shared" si="23"/>
        <v>0</v>
      </c>
      <c r="M44" s="198">
        <f t="shared" si="16"/>
        <v>0</v>
      </c>
      <c r="N44" s="198">
        <v>0</v>
      </c>
      <c r="O44" s="198"/>
      <c r="P44" s="198"/>
      <c r="Q44" s="25">
        <f t="shared" si="8"/>
        <v>0</v>
      </c>
      <c r="R44" s="198">
        <v>0</v>
      </c>
      <c r="S44" s="25">
        <f t="shared" si="9"/>
        <v>0</v>
      </c>
      <c r="T44" s="198"/>
      <c r="U44" s="25">
        <f t="shared" si="10"/>
        <v>0</v>
      </c>
      <c r="V44" s="208"/>
      <c r="W44" s="197"/>
      <c r="X44" s="198"/>
      <c r="Y44" s="197"/>
      <c r="Z44" s="198"/>
      <c r="AA44" s="197"/>
      <c r="AB44" s="198"/>
    </row>
    <row r="45" spans="1:28" ht="24" hidden="1" x14ac:dyDescent="0.3">
      <c r="A45" s="171"/>
      <c r="B45" s="165" t="s">
        <v>50</v>
      </c>
      <c r="C45" s="16">
        <v>79</v>
      </c>
      <c r="D45" s="16"/>
      <c r="E45" s="25">
        <v>79000</v>
      </c>
      <c r="F45" s="116"/>
      <c r="G45" s="116"/>
      <c r="H45" s="114"/>
      <c r="I45" s="114"/>
      <c r="J45" s="114"/>
      <c r="K45" s="131"/>
      <c r="L45" s="198">
        <f t="shared" si="23"/>
        <v>0</v>
      </c>
      <c r="M45" s="198">
        <f t="shared" si="16"/>
        <v>0</v>
      </c>
      <c r="N45" s="198">
        <v>0</v>
      </c>
      <c r="O45" s="198"/>
      <c r="P45" s="198"/>
      <c r="Q45" s="25">
        <f t="shared" si="8"/>
        <v>0</v>
      </c>
      <c r="R45" s="198">
        <v>0</v>
      </c>
      <c r="S45" s="25">
        <f t="shared" si="9"/>
        <v>0</v>
      </c>
      <c r="T45" s="198"/>
      <c r="U45" s="25">
        <f t="shared" si="10"/>
        <v>0</v>
      </c>
      <c r="V45" s="208"/>
      <c r="W45" s="197"/>
      <c r="X45" s="198"/>
      <c r="Y45" s="197"/>
      <c r="Z45" s="198"/>
      <c r="AA45" s="197"/>
      <c r="AB45" s="198"/>
    </row>
    <row r="46" spans="1:28" ht="16.95" customHeight="1" x14ac:dyDescent="0.3">
      <c r="A46" s="222" t="s">
        <v>43</v>
      </c>
      <c r="B46" s="223" t="s">
        <v>3</v>
      </c>
      <c r="C46" s="227">
        <f>C47+C59+C60+C61+C63</f>
        <v>726424</v>
      </c>
      <c r="D46" s="227">
        <f>D47+D59+D60+D61+D63</f>
        <v>0</v>
      </c>
      <c r="E46" s="227">
        <f>E47+E59+E60+E61+E63</f>
        <v>726423994</v>
      </c>
      <c r="F46" s="227">
        <f>F47+F59+F60+F61+F63</f>
        <v>726423.99399999995</v>
      </c>
      <c r="G46" s="227">
        <f>G47+G59+G60+G61+G63</f>
        <v>-6.0000000003128662E-3</v>
      </c>
      <c r="H46" s="227">
        <f t="shared" ref="H46:N46" si="29">H47+H59+H60+H61+H63+H64</f>
        <v>608092</v>
      </c>
      <c r="I46" s="227">
        <f t="shared" si="29"/>
        <v>774941</v>
      </c>
      <c r="J46" s="227">
        <f t="shared" si="29"/>
        <v>696541</v>
      </c>
      <c r="K46" s="228">
        <f t="shared" si="29"/>
        <v>545714</v>
      </c>
      <c r="L46" s="210">
        <f t="shared" si="29"/>
        <v>969493522</v>
      </c>
      <c r="M46" s="210">
        <f t="shared" si="29"/>
        <v>968947808</v>
      </c>
      <c r="N46" s="210">
        <f t="shared" si="29"/>
        <v>417933</v>
      </c>
      <c r="O46" s="210"/>
      <c r="P46" s="210"/>
      <c r="Q46" s="24">
        <f>Q47+Q59+Q60+Q61+Q62+Q63+Q64</f>
        <v>971011622</v>
      </c>
      <c r="R46" s="24">
        <f t="shared" ref="R46:AB46" si="30">R47+R59+R60+R61+R62+R63+R64</f>
        <v>891169400</v>
      </c>
      <c r="S46" s="24">
        <f t="shared" si="30"/>
        <v>964498001</v>
      </c>
      <c r="T46" s="24">
        <f t="shared" si="30"/>
        <v>1065705001</v>
      </c>
      <c r="U46" s="24">
        <f t="shared" si="30"/>
        <v>1119375814</v>
      </c>
      <c r="V46" s="24"/>
      <c r="W46" s="24">
        <f t="shared" si="30"/>
        <v>3714622</v>
      </c>
      <c r="X46" s="24">
        <f t="shared" si="30"/>
        <v>967297000</v>
      </c>
      <c r="Y46" s="24">
        <f t="shared" si="30"/>
        <v>14210001</v>
      </c>
      <c r="Z46" s="24">
        <f t="shared" si="30"/>
        <v>950288000</v>
      </c>
      <c r="AA46" s="24">
        <f t="shared" si="30"/>
        <v>14886814</v>
      </c>
      <c r="AB46" s="24">
        <f t="shared" si="30"/>
        <v>1104489000</v>
      </c>
    </row>
    <row r="47" spans="1:28" ht="24.6" customHeight="1" x14ac:dyDescent="0.3">
      <c r="A47" s="222" t="s">
        <v>44</v>
      </c>
      <c r="B47" s="223" t="s">
        <v>4</v>
      </c>
      <c r="C47" s="227">
        <f>SUM(C48:C58)</f>
        <v>691386</v>
      </c>
      <c r="D47" s="227">
        <f>SUM(D48:D58)</f>
        <v>0</v>
      </c>
      <c r="E47" s="210">
        <f>SUM(E48:E58)</f>
        <v>691386000</v>
      </c>
      <c r="F47" s="229">
        <f t="shared" si="11"/>
        <v>691386</v>
      </c>
      <c r="G47" s="229">
        <f>F47-C47</f>
        <v>0</v>
      </c>
      <c r="H47" s="227">
        <f t="shared" ref="H47:N47" si="31">SUM(H48:H58)</f>
        <v>576319</v>
      </c>
      <c r="I47" s="227">
        <f t="shared" si="31"/>
        <v>739626</v>
      </c>
      <c r="J47" s="227">
        <f t="shared" si="31"/>
        <v>662922</v>
      </c>
      <c r="K47" s="228">
        <f t="shared" si="31"/>
        <v>510529</v>
      </c>
      <c r="L47" s="210">
        <f t="shared" si="31"/>
        <v>917883000</v>
      </c>
      <c r="M47" s="210">
        <f t="shared" si="31"/>
        <v>917372471</v>
      </c>
      <c r="N47" s="210">
        <f t="shared" si="31"/>
        <v>383394</v>
      </c>
      <c r="O47" s="210"/>
      <c r="P47" s="210"/>
      <c r="Q47" s="24">
        <f>SUM(Q48:Q58)</f>
        <v>919397000</v>
      </c>
      <c r="R47" s="24">
        <f t="shared" ref="R47:AB47" si="32">SUM(R48:R58)</f>
        <v>800982000</v>
      </c>
      <c r="S47" s="24">
        <f t="shared" si="32"/>
        <v>867867000</v>
      </c>
      <c r="T47" s="24">
        <f t="shared" si="32"/>
        <v>936559000</v>
      </c>
      <c r="U47" s="24">
        <f t="shared" si="32"/>
        <v>1021364000</v>
      </c>
      <c r="V47" s="24"/>
      <c r="W47" s="24">
        <f t="shared" si="32"/>
        <v>0</v>
      </c>
      <c r="X47" s="24">
        <f t="shared" si="32"/>
        <v>919397000</v>
      </c>
      <c r="Y47" s="24">
        <f t="shared" si="32"/>
        <v>0</v>
      </c>
      <c r="Z47" s="24">
        <f t="shared" si="32"/>
        <v>867867000</v>
      </c>
      <c r="AA47" s="24">
        <f t="shared" si="32"/>
        <v>0</v>
      </c>
      <c r="AB47" s="24">
        <f t="shared" si="32"/>
        <v>1021364000</v>
      </c>
    </row>
    <row r="48" spans="1:28" ht="50.4" customHeight="1" x14ac:dyDescent="0.3">
      <c r="A48" s="171"/>
      <c r="B48" s="165" t="s">
        <v>5</v>
      </c>
      <c r="C48" s="122">
        <v>386036</v>
      </c>
      <c r="D48" s="123"/>
      <c r="E48" s="124">
        <v>386036000</v>
      </c>
      <c r="F48" s="116">
        <f t="shared" si="11"/>
        <v>386036</v>
      </c>
      <c r="G48" s="116">
        <f t="shared" si="12"/>
        <v>0</v>
      </c>
      <c r="H48" s="114">
        <v>334797</v>
      </c>
      <c r="I48" s="114">
        <v>430728</v>
      </c>
      <c r="J48" s="114">
        <v>385292</v>
      </c>
      <c r="K48" s="131">
        <v>300084</v>
      </c>
      <c r="L48" s="198">
        <f t="shared" ref="L48:L67" si="33">W48+X48</f>
        <v>536533000</v>
      </c>
      <c r="M48" s="198">
        <f t="shared" ref="M48:M67" si="34">L48-K48</f>
        <v>536232916</v>
      </c>
      <c r="N48" s="198">
        <v>224097</v>
      </c>
      <c r="O48" s="198"/>
      <c r="P48" s="198"/>
      <c r="Q48" s="25">
        <f t="shared" si="8"/>
        <v>536533000</v>
      </c>
      <c r="R48" s="198">
        <v>449375000</v>
      </c>
      <c r="S48" s="25">
        <f t="shared" si="9"/>
        <v>490287000</v>
      </c>
      <c r="T48" s="198">
        <v>536543000</v>
      </c>
      <c r="U48" s="25">
        <f t="shared" si="10"/>
        <v>591491000</v>
      </c>
      <c r="V48" s="208">
        <v>906</v>
      </c>
      <c r="W48" s="197"/>
      <c r="X48" s="198">
        <v>536533000</v>
      </c>
      <c r="Y48" s="197"/>
      <c r="Z48" s="198">
        <v>490287000</v>
      </c>
      <c r="AA48" s="197"/>
      <c r="AB48" s="198">
        <v>591491000</v>
      </c>
    </row>
    <row r="49" spans="1:29" ht="28.2" customHeight="1" x14ac:dyDescent="0.3">
      <c r="A49" s="171"/>
      <c r="B49" s="165" t="s">
        <v>6</v>
      </c>
      <c r="C49" s="122">
        <v>295813</v>
      </c>
      <c r="D49" s="123"/>
      <c r="E49" s="124">
        <v>295813000</v>
      </c>
      <c r="F49" s="116">
        <f t="shared" si="11"/>
        <v>295813</v>
      </c>
      <c r="G49" s="116">
        <f t="shared" si="12"/>
        <v>0</v>
      </c>
      <c r="H49" s="114">
        <v>231806</v>
      </c>
      <c r="I49" s="114">
        <v>299172</v>
      </c>
      <c r="J49" s="114">
        <v>267660</v>
      </c>
      <c r="K49" s="131">
        <v>199795</v>
      </c>
      <c r="L49" s="198">
        <f t="shared" si="33"/>
        <v>362453000</v>
      </c>
      <c r="M49" s="198">
        <f t="shared" si="34"/>
        <v>362253205</v>
      </c>
      <c r="N49" s="198">
        <v>148579</v>
      </c>
      <c r="O49" s="198"/>
      <c r="P49" s="198"/>
      <c r="Q49" s="25">
        <f t="shared" si="8"/>
        <v>362453000</v>
      </c>
      <c r="R49" s="198">
        <v>339524000</v>
      </c>
      <c r="S49" s="25">
        <f t="shared" si="9"/>
        <v>357193000</v>
      </c>
      <c r="T49" s="198">
        <v>379629000</v>
      </c>
      <c r="U49" s="25">
        <f t="shared" si="10"/>
        <v>409103000</v>
      </c>
      <c r="V49" s="208">
        <v>906</v>
      </c>
      <c r="W49" s="197"/>
      <c r="X49" s="198">
        <v>362453000</v>
      </c>
      <c r="Y49" s="197"/>
      <c r="Z49" s="198">
        <v>357193000</v>
      </c>
      <c r="AA49" s="197"/>
      <c r="AB49" s="198">
        <v>409103000</v>
      </c>
    </row>
    <row r="50" spans="1:29" ht="25.2" customHeight="1" x14ac:dyDescent="0.3">
      <c r="A50" s="171"/>
      <c r="B50" s="165" t="s">
        <v>7</v>
      </c>
      <c r="C50" s="122">
        <v>6199</v>
      </c>
      <c r="D50" s="123"/>
      <c r="E50" s="124">
        <v>6199000</v>
      </c>
      <c r="F50" s="116">
        <f t="shared" si="11"/>
        <v>6199</v>
      </c>
      <c r="G50" s="116">
        <f t="shared" si="12"/>
        <v>0</v>
      </c>
      <c r="H50" s="114">
        <v>6291</v>
      </c>
      <c r="I50" s="114">
        <v>6291</v>
      </c>
      <c r="J50" s="114">
        <v>6463</v>
      </c>
      <c r="K50" s="131">
        <v>5889</v>
      </c>
      <c r="L50" s="198">
        <f t="shared" si="33"/>
        <v>7478000</v>
      </c>
      <c r="M50" s="198">
        <f t="shared" si="34"/>
        <v>7472111</v>
      </c>
      <c r="N50" s="198">
        <v>5889</v>
      </c>
      <c r="O50" s="198"/>
      <c r="P50" s="198"/>
      <c r="Q50" s="25">
        <f t="shared" si="8"/>
        <v>7478000</v>
      </c>
      <c r="R50" s="198">
        <v>6515000</v>
      </c>
      <c r="S50" s="25">
        <f t="shared" si="9"/>
        <v>7478000</v>
      </c>
      <c r="T50" s="198">
        <v>7478000</v>
      </c>
      <c r="U50" s="25">
        <f t="shared" si="10"/>
        <v>7478000</v>
      </c>
      <c r="V50" s="208">
        <v>906</v>
      </c>
      <c r="W50" s="197"/>
      <c r="X50" s="198">
        <v>7478000</v>
      </c>
      <c r="Y50" s="197"/>
      <c r="Z50" s="198">
        <v>7478000</v>
      </c>
      <c r="AA50" s="197"/>
      <c r="AB50" s="198">
        <v>7478000</v>
      </c>
    </row>
    <row r="51" spans="1:29" ht="34.5" customHeight="1" x14ac:dyDescent="0.3">
      <c r="A51" s="171"/>
      <c r="B51" s="165" t="s">
        <v>8</v>
      </c>
      <c r="C51" s="122">
        <v>2</v>
      </c>
      <c r="D51" s="123"/>
      <c r="E51" s="124">
        <v>2000</v>
      </c>
      <c r="F51" s="116">
        <f t="shared" si="11"/>
        <v>2</v>
      </c>
      <c r="G51" s="116">
        <f t="shared" si="12"/>
        <v>0</v>
      </c>
      <c r="H51" s="114">
        <v>2</v>
      </c>
      <c r="I51" s="114">
        <v>2</v>
      </c>
      <c r="J51" s="114">
        <v>2</v>
      </c>
      <c r="K51" s="131">
        <v>2</v>
      </c>
      <c r="L51" s="198">
        <f t="shared" si="33"/>
        <v>2000</v>
      </c>
      <c r="M51" s="198">
        <f t="shared" si="34"/>
        <v>1998</v>
      </c>
      <c r="N51" s="198">
        <v>2</v>
      </c>
      <c r="O51" s="198"/>
      <c r="P51" s="198"/>
      <c r="Q51" s="25">
        <f t="shared" si="8"/>
        <v>2000</v>
      </c>
      <c r="R51" s="198">
        <v>2000</v>
      </c>
      <c r="S51" s="25">
        <f t="shared" si="9"/>
        <v>2000</v>
      </c>
      <c r="T51" s="198">
        <v>2000</v>
      </c>
      <c r="U51" s="25">
        <f t="shared" si="10"/>
        <v>2000</v>
      </c>
      <c r="V51" s="208">
        <v>902</v>
      </c>
      <c r="W51" s="197"/>
      <c r="X51" s="198">
        <v>2000</v>
      </c>
      <c r="Y51" s="197"/>
      <c r="Z51" s="198">
        <v>2000</v>
      </c>
      <c r="AA51" s="197"/>
      <c r="AB51" s="198">
        <v>2000</v>
      </c>
    </row>
    <row r="52" spans="1:29" ht="27.6" customHeight="1" x14ac:dyDescent="0.3">
      <c r="A52" s="171"/>
      <c r="B52" s="165" t="s">
        <v>9</v>
      </c>
      <c r="C52" s="122">
        <v>558</v>
      </c>
      <c r="D52" s="123"/>
      <c r="E52" s="124">
        <v>558000</v>
      </c>
      <c r="F52" s="116">
        <f t="shared" si="11"/>
        <v>558</v>
      </c>
      <c r="G52" s="116">
        <f t="shared" si="12"/>
        <v>0</v>
      </c>
      <c r="H52" s="114">
        <v>558</v>
      </c>
      <c r="I52" s="114">
        <v>558</v>
      </c>
      <c r="J52" s="114">
        <v>579</v>
      </c>
      <c r="K52" s="131">
        <v>570</v>
      </c>
      <c r="L52" s="198">
        <f t="shared" si="33"/>
        <v>754000</v>
      </c>
      <c r="M52" s="198">
        <f t="shared" si="34"/>
        <v>753430</v>
      </c>
      <c r="N52" s="198">
        <v>570</v>
      </c>
      <c r="O52" s="198"/>
      <c r="P52" s="198"/>
      <c r="Q52" s="25">
        <f t="shared" si="8"/>
        <v>754000</v>
      </c>
      <c r="R52" s="198">
        <v>641000</v>
      </c>
      <c r="S52" s="25">
        <f t="shared" si="9"/>
        <v>754000</v>
      </c>
      <c r="T52" s="198">
        <v>754000</v>
      </c>
      <c r="U52" s="25">
        <f t="shared" si="10"/>
        <v>754000</v>
      </c>
      <c r="V52" s="208">
        <v>902</v>
      </c>
      <c r="W52" s="197"/>
      <c r="X52" s="198">
        <v>754000</v>
      </c>
      <c r="Y52" s="197"/>
      <c r="Z52" s="198">
        <v>754000</v>
      </c>
      <c r="AA52" s="198"/>
      <c r="AB52" s="198">
        <v>754000</v>
      </c>
    </row>
    <row r="53" spans="1:29" ht="48" customHeight="1" x14ac:dyDescent="0.3">
      <c r="A53" s="171"/>
      <c r="B53" s="165" t="s">
        <v>192</v>
      </c>
      <c r="C53" s="122"/>
      <c r="D53" s="123"/>
      <c r="E53" s="124"/>
      <c r="F53" s="116"/>
      <c r="G53" s="116"/>
      <c r="H53" s="114"/>
      <c r="I53" s="114"/>
      <c r="J53" s="114"/>
      <c r="K53" s="131"/>
      <c r="L53" s="198"/>
      <c r="M53" s="198"/>
      <c r="N53" s="198"/>
      <c r="O53" s="198"/>
      <c r="P53" s="198"/>
      <c r="Q53" s="25">
        <f t="shared" si="8"/>
        <v>37000</v>
      </c>
      <c r="R53" s="198"/>
      <c r="S53" s="25">
        <f t="shared" si="9"/>
        <v>37000</v>
      </c>
      <c r="T53" s="198">
        <v>37000</v>
      </c>
      <c r="U53" s="25">
        <f t="shared" si="10"/>
        <v>37000</v>
      </c>
      <c r="V53" s="208">
        <v>905</v>
      </c>
      <c r="W53" s="197"/>
      <c r="X53" s="198">
        <v>37000</v>
      </c>
      <c r="Y53" s="197"/>
      <c r="Z53" s="198">
        <v>37000</v>
      </c>
      <c r="AA53" s="198"/>
      <c r="AB53" s="198">
        <v>37000</v>
      </c>
    </row>
    <row r="54" spans="1:29" ht="27.6" customHeight="1" x14ac:dyDescent="0.3">
      <c r="A54" s="171"/>
      <c r="B54" s="30" t="s">
        <v>142</v>
      </c>
      <c r="C54" s="122"/>
      <c r="D54" s="123"/>
      <c r="E54" s="124"/>
      <c r="F54" s="116"/>
      <c r="G54" s="116"/>
      <c r="H54" s="114"/>
      <c r="I54" s="114"/>
      <c r="J54" s="114"/>
      <c r="K54" s="131"/>
      <c r="L54" s="198"/>
      <c r="M54" s="198"/>
      <c r="N54" s="198"/>
      <c r="O54" s="198"/>
      <c r="P54" s="198"/>
      <c r="Q54" s="25">
        <f t="shared" si="8"/>
        <v>1477000</v>
      </c>
      <c r="R54" s="198"/>
      <c r="S54" s="25">
        <f t="shared" si="9"/>
        <v>1495000</v>
      </c>
      <c r="T54" s="198">
        <v>1495000</v>
      </c>
      <c r="U54" s="25">
        <f t="shared" si="10"/>
        <v>1495000</v>
      </c>
      <c r="V54" s="208">
        <v>902</v>
      </c>
      <c r="W54" s="197"/>
      <c r="X54" s="198">
        <v>1477000</v>
      </c>
      <c r="Y54" s="197"/>
      <c r="Z54" s="198">
        <v>1495000</v>
      </c>
      <c r="AA54" s="198"/>
      <c r="AB54" s="198">
        <v>1495000</v>
      </c>
    </row>
    <row r="55" spans="1:29" ht="24" customHeight="1" x14ac:dyDescent="0.3">
      <c r="A55" s="171"/>
      <c r="B55" s="165" t="s">
        <v>10</v>
      </c>
      <c r="C55" s="122">
        <v>1032</v>
      </c>
      <c r="D55" s="123"/>
      <c r="E55" s="124">
        <v>1032000</v>
      </c>
      <c r="F55" s="116">
        <f t="shared" si="11"/>
        <v>1032</v>
      </c>
      <c r="G55" s="116">
        <f t="shared" si="12"/>
        <v>0</v>
      </c>
      <c r="H55" s="114">
        <v>1037</v>
      </c>
      <c r="I55" s="114">
        <v>1037</v>
      </c>
      <c r="J55" s="114">
        <v>1076</v>
      </c>
      <c r="K55" s="131">
        <v>1054</v>
      </c>
      <c r="L55" s="198">
        <f t="shared" si="33"/>
        <v>0</v>
      </c>
      <c r="M55" s="198">
        <f t="shared" si="34"/>
        <v>-1054</v>
      </c>
      <c r="N55" s="198">
        <v>1054</v>
      </c>
      <c r="O55" s="198"/>
      <c r="P55" s="198"/>
      <c r="Q55" s="25">
        <f t="shared" si="8"/>
        <v>0</v>
      </c>
      <c r="R55" s="198">
        <v>1186000</v>
      </c>
      <c r="S55" s="25">
        <f t="shared" si="9"/>
        <v>0</v>
      </c>
      <c r="T55" s="198"/>
      <c r="U55" s="25">
        <f t="shared" si="10"/>
        <v>0</v>
      </c>
      <c r="V55" s="208">
        <v>902</v>
      </c>
      <c r="W55" s="197"/>
      <c r="X55" s="198"/>
      <c r="Y55" s="197"/>
      <c r="Z55" s="198"/>
      <c r="AA55" s="197"/>
      <c r="AB55" s="198"/>
    </row>
    <row r="56" spans="1:29" ht="34.5" customHeight="1" x14ac:dyDescent="0.3">
      <c r="A56" s="171"/>
      <c r="B56" s="165" t="s">
        <v>11</v>
      </c>
      <c r="C56" s="122">
        <v>542</v>
      </c>
      <c r="D56" s="123"/>
      <c r="E56" s="124">
        <v>542000</v>
      </c>
      <c r="F56" s="116">
        <f t="shared" si="11"/>
        <v>542</v>
      </c>
      <c r="G56" s="116">
        <f t="shared" si="12"/>
        <v>0</v>
      </c>
      <c r="H56" s="114">
        <v>542</v>
      </c>
      <c r="I56" s="114">
        <v>542</v>
      </c>
      <c r="J56" s="114">
        <v>564</v>
      </c>
      <c r="K56" s="131">
        <v>554</v>
      </c>
      <c r="L56" s="198">
        <f t="shared" si="33"/>
        <v>733000</v>
      </c>
      <c r="M56" s="198">
        <f t="shared" si="34"/>
        <v>732446</v>
      </c>
      <c r="N56" s="198">
        <v>554</v>
      </c>
      <c r="O56" s="198"/>
      <c r="P56" s="198"/>
      <c r="Q56" s="25">
        <f t="shared" si="8"/>
        <v>733000</v>
      </c>
      <c r="R56" s="198">
        <v>623000</v>
      </c>
      <c r="S56" s="25">
        <f t="shared" si="9"/>
        <v>733000</v>
      </c>
      <c r="T56" s="198">
        <v>733000</v>
      </c>
      <c r="U56" s="25">
        <f t="shared" si="10"/>
        <v>733000</v>
      </c>
      <c r="V56" s="208">
        <v>902</v>
      </c>
      <c r="W56" s="197"/>
      <c r="X56" s="198">
        <v>733000</v>
      </c>
      <c r="Y56" s="197"/>
      <c r="Z56" s="198">
        <v>733000</v>
      </c>
      <c r="AA56" s="197"/>
      <c r="AB56" s="198">
        <v>733000</v>
      </c>
    </row>
    <row r="57" spans="1:29" ht="42" customHeight="1" x14ac:dyDescent="0.3">
      <c r="A57" s="171"/>
      <c r="B57" s="165" t="s">
        <v>12</v>
      </c>
      <c r="C57" s="122">
        <v>762</v>
      </c>
      <c r="D57" s="123"/>
      <c r="E57" s="124">
        <v>762000</v>
      </c>
      <c r="F57" s="116">
        <f t="shared" si="11"/>
        <v>762</v>
      </c>
      <c r="G57" s="116">
        <f t="shared" si="12"/>
        <v>0</v>
      </c>
      <c r="H57" s="114">
        <v>778</v>
      </c>
      <c r="I57" s="114">
        <v>778</v>
      </c>
      <c r="J57" s="114">
        <v>778</v>
      </c>
      <c r="K57" s="131">
        <v>795</v>
      </c>
      <c r="L57" s="198">
        <f t="shared" si="33"/>
        <v>1766000</v>
      </c>
      <c r="M57" s="198">
        <f t="shared" si="34"/>
        <v>1765205</v>
      </c>
      <c r="N57" s="198">
        <v>795</v>
      </c>
      <c r="O57" s="198"/>
      <c r="P57" s="198"/>
      <c r="Q57" s="25">
        <f t="shared" si="8"/>
        <v>1766000</v>
      </c>
      <c r="R57" s="198">
        <v>1160000</v>
      </c>
      <c r="S57" s="25">
        <f t="shared" si="9"/>
        <v>1373000</v>
      </c>
      <c r="T57" s="198">
        <v>1373000</v>
      </c>
      <c r="U57" s="25">
        <f t="shared" si="10"/>
        <v>1373000</v>
      </c>
      <c r="V57" s="208">
        <v>905</v>
      </c>
      <c r="W57" s="197"/>
      <c r="X57" s="198">
        <f>1373000+393000</f>
        <v>1766000</v>
      </c>
      <c r="Y57" s="197"/>
      <c r="Z57" s="198">
        <v>1373000</v>
      </c>
      <c r="AA57" s="197"/>
      <c r="AB57" s="198">
        <v>1373000</v>
      </c>
      <c r="AC57" s="192">
        <v>393</v>
      </c>
    </row>
    <row r="58" spans="1:29" ht="27.6" customHeight="1" x14ac:dyDescent="0.3">
      <c r="A58" s="171"/>
      <c r="B58" s="165" t="s">
        <v>194</v>
      </c>
      <c r="C58" s="122">
        <v>442</v>
      </c>
      <c r="D58" s="123"/>
      <c r="E58" s="124">
        <v>442000</v>
      </c>
      <c r="F58" s="116">
        <f t="shared" si="11"/>
        <v>442</v>
      </c>
      <c r="G58" s="116">
        <f t="shared" si="12"/>
        <v>0</v>
      </c>
      <c r="H58" s="114">
        <v>508</v>
      </c>
      <c r="I58" s="114">
        <v>518</v>
      </c>
      <c r="J58" s="114">
        <v>508</v>
      </c>
      <c r="K58" s="131">
        <v>1786</v>
      </c>
      <c r="L58" s="198">
        <f t="shared" si="33"/>
        <v>8164000</v>
      </c>
      <c r="M58" s="198">
        <f t="shared" si="34"/>
        <v>8162214</v>
      </c>
      <c r="N58" s="198">
        <v>1854</v>
      </c>
      <c r="O58" s="198"/>
      <c r="P58" s="198"/>
      <c r="Q58" s="25">
        <f t="shared" si="8"/>
        <v>8164000</v>
      </c>
      <c r="R58" s="198">
        <v>1956000</v>
      </c>
      <c r="S58" s="25">
        <f t="shared" si="9"/>
        <v>8515000</v>
      </c>
      <c r="T58" s="198">
        <v>8515000</v>
      </c>
      <c r="U58" s="25">
        <f t="shared" si="10"/>
        <v>8898000</v>
      </c>
      <c r="V58" s="208">
        <v>905</v>
      </c>
      <c r="W58" s="197"/>
      <c r="X58" s="198">
        <v>8164000</v>
      </c>
      <c r="Y58" s="197"/>
      <c r="Z58" s="198">
        <v>8515000</v>
      </c>
      <c r="AA58" s="197"/>
      <c r="AB58" s="198">
        <v>8898000</v>
      </c>
    </row>
    <row r="59" spans="1:29" ht="31.95" customHeight="1" x14ac:dyDescent="0.3">
      <c r="A59" s="171" t="s">
        <v>45</v>
      </c>
      <c r="B59" s="165" t="s">
        <v>13</v>
      </c>
      <c r="C59" s="122">
        <v>25623</v>
      </c>
      <c r="D59" s="123"/>
      <c r="E59" s="124">
        <v>25623000</v>
      </c>
      <c r="F59" s="116">
        <f t="shared" si="11"/>
        <v>25623</v>
      </c>
      <c r="G59" s="116">
        <f t="shared" si="12"/>
        <v>0</v>
      </c>
      <c r="H59" s="114">
        <v>24886</v>
      </c>
      <c r="I59" s="114">
        <v>24886</v>
      </c>
      <c r="J59" s="114">
        <v>25882</v>
      </c>
      <c r="K59" s="131">
        <v>27714</v>
      </c>
      <c r="L59" s="198">
        <f t="shared" si="33"/>
        <v>31556000</v>
      </c>
      <c r="M59" s="198">
        <f t="shared" si="34"/>
        <v>31528286</v>
      </c>
      <c r="N59" s="198">
        <v>27714</v>
      </c>
      <c r="O59" s="198"/>
      <c r="P59" s="198"/>
      <c r="Q59" s="25">
        <f t="shared" si="8"/>
        <v>31556000</v>
      </c>
      <c r="R59" s="198">
        <v>28143000</v>
      </c>
      <c r="S59" s="25">
        <f t="shared" si="9"/>
        <v>31556000</v>
      </c>
      <c r="T59" s="198">
        <v>31556000</v>
      </c>
      <c r="U59" s="25">
        <f t="shared" si="10"/>
        <v>31556000</v>
      </c>
      <c r="V59" s="208">
        <v>906</v>
      </c>
      <c r="W59" s="197"/>
      <c r="X59" s="198">
        <v>31556000</v>
      </c>
      <c r="Y59" s="197"/>
      <c r="Z59" s="198">
        <v>31556000</v>
      </c>
      <c r="AA59" s="197"/>
      <c r="AB59" s="198">
        <v>31556000</v>
      </c>
    </row>
    <row r="60" spans="1:29" ht="36.6" customHeight="1" x14ac:dyDescent="0.3">
      <c r="A60" s="171" t="s">
        <v>46</v>
      </c>
      <c r="B60" s="165" t="s">
        <v>14</v>
      </c>
      <c r="C60" s="122">
        <v>3449</v>
      </c>
      <c r="D60" s="123"/>
      <c r="E60" s="124">
        <v>3449000</v>
      </c>
      <c r="F60" s="116">
        <f t="shared" si="11"/>
        <v>3449</v>
      </c>
      <c r="G60" s="116">
        <f t="shared" si="12"/>
        <v>0</v>
      </c>
      <c r="H60" s="114">
        <v>3673</v>
      </c>
      <c r="I60" s="114">
        <v>3673</v>
      </c>
      <c r="J60" s="114">
        <v>3673</v>
      </c>
      <c r="K60" s="131">
        <v>2329</v>
      </c>
      <c r="L60" s="198">
        <f t="shared" si="33"/>
        <v>4048000</v>
      </c>
      <c r="M60" s="198">
        <f t="shared" si="34"/>
        <v>4045671</v>
      </c>
      <c r="N60" s="198">
        <v>2329</v>
      </c>
      <c r="O60" s="198"/>
      <c r="P60" s="198"/>
      <c r="Q60" s="25">
        <f t="shared" si="8"/>
        <v>4048000</v>
      </c>
      <c r="R60" s="198">
        <v>5387000</v>
      </c>
      <c r="S60" s="25">
        <f t="shared" si="9"/>
        <v>4048000</v>
      </c>
      <c r="T60" s="198">
        <v>4048000</v>
      </c>
      <c r="U60" s="25">
        <f t="shared" si="10"/>
        <v>4048000</v>
      </c>
      <c r="V60" s="208">
        <v>906</v>
      </c>
      <c r="W60" s="197"/>
      <c r="X60" s="198">
        <v>4048000</v>
      </c>
      <c r="Y60" s="197"/>
      <c r="Z60" s="198">
        <v>4048000</v>
      </c>
      <c r="AA60" s="197"/>
      <c r="AB60" s="198">
        <v>4048000</v>
      </c>
    </row>
    <row r="61" spans="1:29" ht="38.4" customHeight="1" x14ac:dyDescent="0.3">
      <c r="A61" s="171" t="s">
        <v>47</v>
      </c>
      <c r="B61" s="165" t="s">
        <v>15</v>
      </c>
      <c r="C61" s="122">
        <v>5821</v>
      </c>
      <c r="D61" s="123"/>
      <c r="E61" s="124">
        <v>5820994</v>
      </c>
      <c r="F61" s="116">
        <f t="shared" si="11"/>
        <v>5820.9939999999997</v>
      </c>
      <c r="G61" s="116">
        <f t="shared" si="12"/>
        <v>-6.0000000003128662E-3</v>
      </c>
      <c r="H61" s="114">
        <v>3104</v>
      </c>
      <c r="I61" s="114">
        <f>3104+2580</f>
        <v>5684</v>
      </c>
      <c r="J61" s="114">
        <v>3954</v>
      </c>
      <c r="K61" s="131">
        <v>5031</v>
      </c>
      <c r="L61" s="198">
        <f t="shared" si="33"/>
        <v>15914522</v>
      </c>
      <c r="M61" s="198">
        <f t="shared" si="34"/>
        <v>15909491</v>
      </c>
      <c r="N61" s="198">
        <v>4385</v>
      </c>
      <c r="O61" s="198"/>
      <c r="P61" s="198"/>
      <c r="Q61" s="25">
        <f t="shared" si="8"/>
        <v>15914522</v>
      </c>
      <c r="R61" s="198">
        <v>19253400</v>
      </c>
      <c r="S61" s="25">
        <f t="shared" si="9"/>
        <v>60930701</v>
      </c>
      <c r="T61" s="198">
        <v>46725000</v>
      </c>
      <c r="U61" s="25">
        <f t="shared" si="10"/>
        <v>62311914</v>
      </c>
      <c r="V61" s="208">
        <v>904</v>
      </c>
      <c r="W61" s="197">
        <v>3710522</v>
      </c>
      <c r="X61" s="198">
        <v>12204000</v>
      </c>
      <c r="Y61" s="197">
        <v>14205701</v>
      </c>
      <c r="Z61" s="198">
        <v>46725000</v>
      </c>
      <c r="AA61" s="197">
        <v>14882914</v>
      </c>
      <c r="AB61" s="198">
        <v>47429000</v>
      </c>
    </row>
    <row r="62" spans="1:29" ht="38.4" customHeight="1" x14ac:dyDescent="0.3">
      <c r="A62" s="202" t="s">
        <v>160</v>
      </c>
      <c r="B62" s="165" t="s">
        <v>161</v>
      </c>
      <c r="C62" s="122"/>
      <c r="D62" s="123"/>
      <c r="E62" s="124"/>
      <c r="F62" s="116"/>
      <c r="G62" s="116"/>
      <c r="H62" s="114"/>
      <c r="I62" s="114"/>
      <c r="J62" s="114"/>
      <c r="K62" s="131"/>
      <c r="L62" s="198"/>
      <c r="M62" s="198"/>
      <c r="N62" s="198"/>
      <c r="O62" s="198"/>
      <c r="P62" s="198"/>
      <c r="Q62" s="25">
        <f t="shared" si="8"/>
        <v>4100</v>
      </c>
      <c r="R62" s="198">
        <v>101000</v>
      </c>
      <c r="S62" s="25">
        <f t="shared" ref="S62" si="35">Y62+Z62</f>
        <v>4300</v>
      </c>
      <c r="T62" s="198">
        <v>46725001</v>
      </c>
      <c r="U62" s="25">
        <f t="shared" ref="U62" si="36">AA62+AB62</f>
        <v>3900</v>
      </c>
      <c r="V62" s="208">
        <v>902</v>
      </c>
      <c r="W62" s="197">
        <v>4100</v>
      </c>
      <c r="X62" s="198"/>
      <c r="Y62" s="197">
        <v>4300</v>
      </c>
      <c r="Z62" s="198"/>
      <c r="AA62" s="197">
        <v>3900</v>
      </c>
      <c r="AB62" s="198"/>
    </row>
    <row r="63" spans="1:29" ht="23.4" customHeight="1" x14ac:dyDescent="0.3">
      <c r="A63" s="171" t="s">
        <v>48</v>
      </c>
      <c r="B63" s="165" t="s">
        <v>16</v>
      </c>
      <c r="C63" s="122">
        <v>145</v>
      </c>
      <c r="D63" s="123"/>
      <c r="E63" s="124">
        <v>145000</v>
      </c>
      <c r="F63" s="116">
        <f t="shared" si="11"/>
        <v>145</v>
      </c>
      <c r="G63" s="116">
        <f t="shared" si="12"/>
        <v>0</v>
      </c>
      <c r="H63" s="114">
        <v>110</v>
      </c>
      <c r="I63" s="114">
        <v>110</v>
      </c>
      <c r="J63" s="114">
        <v>110</v>
      </c>
      <c r="K63" s="131">
        <v>111</v>
      </c>
      <c r="L63" s="198">
        <f t="shared" si="33"/>
        <v>92000</v>
      </c>
      <c r="M63" s="198">
        <f t="shared" si="34"/>
        <v>91889</v>
      </c>
      <c r="N63" s="198">
        <v>111</v>
      </c>
      <c r="O63" s="198"/>
      <c r="P63" s="198"/>
      <c r="Q63" s="25">
        <f t="shared" si="8"/>
        <v>92000</v>
      </c>
      <c r="R63" s="198">
        <v>0</v>
      </c>
      <c r="S63" s="25">
        <f t="shared" si="9"/>
        <v>92000</v>
      </c>
      <c r="T63" s="198">
        <v>92000</v>
      </c>
      <c r="U63" s="25">
        <f t="shared" si="10"/>
        <v>92000</v>
      </c>
      <c r="V63" s="208">
        <v>907</v>
      </c>
      <c r="W63" s="197"/>
      <c r="X63" s="198">
        <v>92000</v>
      </c>
      <c r="Y63" s="197"/>
      <c r="Z63" s="198">
        <v>92000</v>
      </c>
      <c r="AA63" s="197"/>
      <c r="AB63" s="198">
        <v>92000</v>
      </c>
    </row>
    <row r="64" spans="1:29" hidden="1" x14ac:dyDescent="0.3">
      <c r="A64" s="126" t="s">
        <v>65</v>
      </c>
      <c r="B64" s="127" t="s">
        <v>87</v>
      </c>
      <c r="C64" s="123"/>
      <c r="D64" s="123"/>
      <c r="E64" s="124"/>
      <c r="F64" s="116">
        <f t="shared" si="11"/>
        <v>0</v>
      </c>
      <c r="G64" s="116">
        <f t="shared" si="12"/>
        <v>0</v>
      </c>
      <c r="H64" s="114"/>
      <c r="I64" s="114">
        <v>962</v>
      </c>
      <c r="J64" s="114"/>
      <c r="K64" s="131">
        <v>0</v>
      </c>
      <c r="L64" s="198">
        <f t="shared" si="33"/>
        <v>0</v>
      </c>
      <c r="M64" s="198">
        <f t="shared" si="34"/>
        <v>0</v>
      </c>
      <c r="N64" s="198">
        <v>0</v>
      </c>
      <c r="O64" s="198"/>
      <c r="P64" s="198"/>
      <c r="Q64" s="25">
        <f t="shared" si="8"/>
        <v>0</v>
      </c>
      <c r="R64" s="198">
        <v>37303000</v>
      </c>
      <c r="S64" s="25">
        <f t="shared" si="9"/>
        <v>0</v>
      </c>
      <c r="T64" s="198"/>
      <c r="U64" s="25">
        <f t="shared" si="10"/>
        <v>0</v>
      </c>
      <c r="V64" s="208" t="s">
        <v>61</v>
      </c>
      <c r="W64" s="197"/>
      <c r="X64" s="198"/>
      <c r="Y64" s="197"/>
      <c r="Z64" s="198"/>
      <c r="AA64" s="197"/>
      <c r="AB64" s="198"/>
    </row>
    <row r="65" spans="1:28" ht="16.5" customHeight="1" x14ac:dyDescent="0.3">
      <c r="A65" s="215" t="s">
        <v>128</v>
      </c>
      <c r="B65" s="139" t="s">
        <v>127</v>
      </c>
      <c r="C65" s="230"/>
      <c r="D65" s="230"/>
      <c r="E65" s="231"/>
      <c r="F65" s="229"/>
      <c r="G65" s="229"/>
      <c r="H65" s="232"/>
      <c r="I65" s="232"/>
      <c r="J65" s="232"/>
      <c r="K65" s="233"/>
      <c r="L65" s="225">
        <f t="shared" si="33"/>
        <v>39812696.810000002</v>
      </c>
      <c r="M65" s="234"/>
      <c r="N65" s="234"/>
      <c r="O65" s="234"/>
      <c r="P65" s="234"/>
      <c r="Q65" s="24">
        <f>SUM(Q66:Q68)</f>
        <v>39812696.810000002</v>
      </c>
      <c r="R65" s="24">
        <f t="shared" ref="R65:AB65" si="37">SUM(R66:R68)</f>
        <v>0</v>
      </c>
      <c r="S65" s="24">
        <f t="shared" si="37"/>
        <v>39000000</v>
      </c>
      <c r="T65" s="24">
        <f t="shared" si="37"/>
        <v>0</v>
      </c>
      <c r="U65" s="24">
        <f t="shared" si="37"/>
        <v>39000000</v>
      </c>
      <c r="V65" s="24"/>
      <c r="W65" s="24">
        <f t="shared" si="37"/>
        <v>39454069.840000004</v>
      </c>
      <c r="X65" s="24">
        <f t="shared" si="37"/>
        <v>358626.97</v>
      </c>
      <c r="Y65" s="24">
        <f t="shared" si="37"/>
        <v>39000000</v>
      </c>
      <c r="Z65" s="24">
        <f t="shared" si="37"/>
        <v>0</v>
      </c>
      <c r="AA65" s="24">
        <f t="shared" si="37"/>
        <v>39000000</v>
      </c>
      <c r="AB65" s="24">
        <f t="shared" si="37"/>
        <v>0</v>
      </c>
    </row>
    <row r="66" spans="1:28" ht="36.6" x14ac:dyDescent="0.3">
      <c r="A66" s="216" t="s">
        <v>114</v>
      </c>
      <c r="B66" s="120" t="s">
        <v>126</v>
      </c>
      <c r="C66" s="123"/>
      <c r="D66" s="123"/>
      <c r="E66" s="124"/>
      <c r="F66" s="116"/>
      <c r="G66" s="116"/>
      <c r="H66" s="114"/>
      <c r="I66" s="114"/>
      <c r="J66" s="114"/>
      <c r="K66" s="131"/>
      <c r="L66" s="198">
        <f t="shared" si="33"/>
        <v>38600000</v>
      </c>
      <c r="M66" s="154"/>
      <c r="N66" s="154"/>
      <c r="O66" s="154"/>
      <c r="P66" s="154"/>
      <c r="Q66" s="25">
        <f>W66+X66</f>
        <v>38600000</v>
      </c>
      <c r="R66" s="198"/>
      <c r="S66" s="25">
        <f t="shared" si="9"/>
        <v>39000000</v>
      </c>
      <c r="T66" s="198"/>
      <c r="U66" s="25">
        <f t="shared" si="10"/>
        <v>39000000</v>
      </c>
      <c r="V66" s="208">
        <v>906</v>
      </c>
      <c r="W66" s="203">
        <v>38600000</v>
      </c>
      <c r="X66" s="198"/>
      <c r="Y66" s="203">
        <v>39000000</v>
      </c>
      <c r="Z66" s="198"/>
      <c r="AA66" s="203">
        <v>39000000</v>
      </c>
      <c r="AB66" s="198"/>
    </row>
    <row r="67" spans="1:28" ht="53.25" customHeight="1" x14ac:dyDescent="0.3">
      <c r="A67" s="237" t="s">
        <v>199</v>
      </c>
      <c r="B67" s="238" t="s">
        <v>200</v>
      </c>
      <c r="C67" s="239"/>
      <c r="D67" s="239"/>
      <c r="E67" s="240"/>
      <c r="F67" s="116">
        <f t="shared" si="11"/>
        <v>0</v>
      </c>
      <c r="G67" s="116">
        <f t="shared" si="12"/>
        <v>0</v>
      </c>
      <c r="H67" s="241"/>
      <c r="I67" s="241"/>
      <c r="J67" s="241"/>
      <c r="K67" s="241">
        <v>1000</v>
      </c>
      <c r="L67" s="242">
        <f t="shared" si="33"/>
        <v>862696.80999999994</v>
      </c>
      <c r="M67" s="242">
        <f t="shared" si="34"/>
        <v>861696.80999999994</v>
      </c>
      <c r="N67" s="242">
        <v>0</v>
      </c>
      <c r="O67" s="242"/>
      <c r="P67" s="242"/>
      <c r="Q67" s="25">
        <f t="shared" si="8"/>
        <v>862696.80999999994</v>
      </c>
      <c r="R67" s="242"/>
      <c r="S67" s="243">
        <f t="shared" si="9"/>
        <v>0</v>
      </c>
      <c r="T67" s="244"/>
      <c r="U67" s="243">
        <f t="shared" si="10"/>
        <v>0</v>
      </c>
      <c r="V67" s="245">
        <v>906</v>
      </c>
      <c r="W67" s="246">
        <v>854069.84</v>
      </c>
      <c r="X67" s="246">
        <v>8626.9699999999993</v>
      </c>
      <c r="Y67" s="246"/>
      <c r="Z67" s="246"/>
      <c r="AA67" s="246"/>
      <c r="AB67" s="246"/>
    </row>
    <row r="68" spans="1:28" x14ac:dyDescent="0.3">
      <c r="A68" s="171" t="s">
        <v>49</v>
      </c>
      <c r="B68" s="30" t="s">
        <v>18</v>
      </c>
      <c r="C68" s="123">
        <f>180+360</f>
        <v>540</v>
      </c>
      <c r="D68" s="123">
        <v>360</v>
      </c>
      <c r="E68" s="124">
        <f>180000+360000</f>
        <v>540000</v>
      </c>
      <c r="F68" s="197">
        <f t="shared" si="11"/>
        <v>540</v>
      </c>
      <c r="G68" s="197">
        <f t="shared" si="12"/>
        <v>0</v>
      </c>
      <c r="H68" s="114"/>
      <c r="I68" s="114"/>
      <c r="J68" s="114"/>
      <c r="K68" s="114"/>
      <c r="L68" s="198"/>
      <c r="M68" s="198"/>
      <c r="N68" s="198"/>
      <c r="O68" s="198"/>
      <c r="P68" s="198"/>
      <c r="Q68" s="25">
        <f t="shared" si="8"/>
        <v>350000</v>
      </c>
      <c r="R68" s="198"/>
      <c r="S68" s="25">
        <f t="shared" si="9"/>
        <v>0</v>
      </c>
      <c r="T68" s="198"/>
      <c r="U68" s="25">
        <f t="shared" si="10"/>
        <v>0</v>
      </c>
      <c r="V68" s="208">
        <v>902</v>
      </c>
      <c r="W68" s="197"/>
      <c r="X68" s="197">
        <v>350000</v>
      </c>
      <c r="Y68" s="197"/>
      <c r="Z68" s="197"/>
      <c r="AA68" s="197"/>
      <c r="AB68" s="197"/>
    </row>
    <row r="69" spans="1:28" x14ac:dyDescent="0.3">
      <c r="A69" s="235" t="s">
        <v>55</v>
      </c>
      <c r="B69" s="236" t="s">
        <v>56</v>
      </c>
      <c r="C69" s="230"/>
      <c r="D69" s="230"/>
      <c r="E69" s="231"/>
      <c r="F69" s="207"/>
      <c r="G69" s="207"/>
      <c r="H69" s="232"/>
      <c r="I69" s="232"/>
      <c r="J69" s="232"/>
      <c r="K69" s="232"/>
      <c r="L69" s="225"/>
      <c r="M69" s="225"/>
      <c r="N69" s="225"/>
      <c r="O69" s="225"/>
      <c r="P69" s="225"/>
      <c r="Q69" s="24">
        <f>SUM(Q70:Q71)</f>
        <v>31335375.75</v>
      </c>
      <c r="R69" s="24">
        <f t="shared" ref="R69:AB69" si="38">SUM(R70:R71)</f>
        <v>0</v>
      </c>
      <c r="S69" s="24">
        <f t="shared" si="38"/>
        <v>0</v>
      </c>
      <c r="T69" s="24">
        <f t="shared" si="38"/>
        <v>0</v>
      </c>
      <c r="U69" s="24">
        <f t="shared" si="38"/>
        <v>0</v>
      </c>
      <c r="V69" s="24"/>
      <c r="W69" s="24">
        <f t="shared" si="38"/>
        <v>0</v>
      </c>
      <c r="X69" s="24">
        <f t="shared" si="38"/>
        <v>0</v>
      </c>
      <c r="Y69" s="24">
        <f t="shared" si="38"/>
        <v>0</v>
      </c>
      <c r="Z69" s="24">
        <f t="shared" si="38"/>
        <v>0</v>
      </c>
      <c r="AA69" s="24">
        <f t="shared" si="38"/>
        <v>0</v>
      </c>
      <c r="AB69" s="24">
        <f t="shared" si="38"/>
        <v>0</v>
      </c>
    </row>
    <row r="70" spans="1:28" x14ac:dyDescent="0.3">
      <c r="A70" s="115" t="s">
        <v>55</v>
      </c>
      <c r="B70" s="117" t="s">
        <v>56</v>
      </c>
      <c r="C70" s="123"/>
      <c r="D70" s="123"/>
      <c r="E70" s="124"/>
      <c r="F70" s="197"/>
      <c r="G70" s="197"/>
      <c r="H70" s="114"/>
      <c r="I70" s="114"/>
      <c r="J70" s="114"/>
      <c r="K70" s="114"/>
      <c r="L70" s="198"/>
      <c r="M70" s="198"/>
      <c r="N70" s="198"/>
      <c r="O70" s="198"/>
      <c r="P70" s="198"/>
      <c r="Q70" s="25">
        <f>7334375.75+1000</f>
        <v>7335375.75</v>
      </c>
      <c r="R70" s="198"/>
      <c r="S70" s="25"/>
      <c r="T70" s="198"/>
      <c r="U70" s="25"/>
      <c r="V70" s="208">
        <v>905</v>
      </c>
      <c r="W70" s="197"/>
      <c r="X70" s="197"/>
      <c r="Y70" s="197"/>
      <c r="Z70" s="197"/>
      <c r="AA70" s="197"/>
      <c r="AB70" s="197"/>
    </row>
    <row r="71" spans="1:28" ht="16.95" customHeight="1" x14ac:dyDescent="0.3">
      <c r="A71" s="115" t="s">
        <v>55</v>
      </c>
      <c r="B71" s="117" t="s">
        <v>56</v>
      </c>
      <c r="C71" s="217">
        <f>3208.7+534.9</f>
        <v>3743.6</v>
      </c>
      <c r="D71" s="218"/>
      <c r="E71" s="219">
        <f>3208759+534875</f>
        <v>3743634</v>
      </c>
      <c r="F71" s="197">
        <f>E71/1000</f>
        <v>3743.634</v>
      </c>
      <c r="G71" s="197">
        <f>F71-C71</f>
        <v>3.4000000000105501E-2</v>
      </c>
      <c r="H71" s="114"/>
      <c r="I71" s="114"/>
      <c r="J71" s="114"/>
      <c r="K71" s="114"/>
      <c r="L71" s="198">
        <v>124000</v>
      </c>
      <c r="M71" s="198"/>
      <c r="N71" s="198"/>
      <c r="O71" s="198"/>
      <c r="P71" s="198"/>
      <c r="Q71" s="198">
        <v>24000000</v>
      </c>
      <c r="R71" s="198"/>
      <c r="S71" s="25">
        <f t="shared" si="9"/>
        <v>0</v>
      </c>
      <c r="T71" s="198"/>
      <c r="U71" s="25">
        <f t="shared" si="10"/>
        <v>0</v>
      </c>
      <c r="V71" s="208">
        <v>906</v>
      </c>
      <c r="W71" s="197"/>
      <c r="X71" s="197"/>
      <c r="Y71" s="197"/>
      <c r="Z71" s="197"/>
      <c r="AA71" s="197"/>
      <c r="AB71" s="197"/>
    </row>
    <row r="72" spans="1:28" x14ac:dyDescent="0.3">
      <c r="C72" s="211">
        <f>C6</f>
        <v>864721.7</v>
      </c>
      <c r="D72" s="211">
        <f>D6</f>
        <v>360</v>
      </c>
      <c r="E72" s="211">
        <f>E6</f>
        <v>864721718.66999996</v>
      </c>
      <c r="F72" s="211">
        <f>F6</f>
        <v>832206.21461999987</v>
      </c>
      <c r="G72" s="211">
        <f>G6</f>
        <v>0.11462000000285499</v>
      </c>
      <c r="H72" s="212"/>
      <c r="I72" s="212"/>
      <c r="J72" s="212"/>
      <c r="K72" s="212"/>
      <c r="L72" s="212"/>
      <c r="M72" s="212"/>
      <c r="N72" s="212"/>
      <c r="O72" s="212"/>
      <c r="P72" s="212"/>
      <c r="Q72" s="212"/>
      <c r="R72" s="212"/>
      <c r="S72" s="212"/>
      <c r="T72" s="212"/>
      <c r="U72" s="212"/>
      <c r="V72" s="116"/>
      <c r="W72" s="116"/>
      <c r="X72" s="116"/>
      <c r="Y72" s="116"/>
      <c r="Z72" s="116"/>
      <c r="AA72" s="116"/>
      <c r="AB72" s="116"/>
    </row>
    <row r="73" spans="1:28" x14ac:dyDescent="0.3">
      <c r="C73" s="116">
        <f>C6-C72</f>
        <v>0</v>
      </c>
      <c r="D73" s="116">
        <f>D6-D72</f>
        <v>0</v>
      </c>
      <c r="E73" s="116">
        <f>E6-E72</f>
        <v>0</v>
      </c>
      <c r="H73" s="212"/>
      <c r="I73" s="212"/>
      <c r="J73" s="212"/>
      <c r="K73" s="212"/>
      <c r="L73" s="212"/>
      <c r="M73" s="212"/>
      <c r="N73" s="212"/>
      <c r="O73" s="212"/>
      <c r="P73" s="212"/>
      <c r="Q73" s="212"/>
      <c r="R73" s="212"/>
      <c r="S73" s="212"/>
      <c r="T73" s="212"/>
      <c r="U73" s="212"/>
      <c r="V73" s="116"/>
      <c r="W73" s="116"/>
      <c r="X73" s="116"/>
      <c r="Y73" s="116"/>
      <c r="Z73" s="116"/>
      <c r="AA73" s="116"/>
      <c r="AB73" s="116"/>
    </row>
    <row r="74" spans="1:28" x14ac:dyDescent="0.3">
      <c r="A74" s="192" t="s">
        <v>137</v>
      </c>
      <c r="C74" s="116"/>
      <c r="D74" s="116"/>
      <c r="E74" s="116"/>
      <c r="H74" s="212">
        <v>0</v>
      </c>
      <c r="I74" s="212">
        <v>1</v>
      </c>
      <c r="J74" s="212"/>
      <c r="K74" s="212"/>
      <c r="L74" s="212">
        <f>L7</f>
        <v>28719000</v>
      </c>
      <c r="M74" s="212">
        <f t="shared" ref="M74:P74" si="39">M7</f>
        <v>21255000</v>
      </c>
      <c r="N74" s="212">
        <f t="shared" si="39"/>
        <v>0</v>
      </c>
      <c r="O74" s="212">
        <f t="shared" si="39"/>
        <v>0</v>
      </c>
      <c r="P74" s="212">
        <f t="shared" si="39"/>
        <v>0</v>
      </c>
      <c r="Q74" s="212">
        <f>Q9+Q10</f>
        <v>21255000</v>
      </c>
      <c r="R74" s="212">
        <f t="shared" ref="R74:AB74" si="40">R9+R10</f>
        <v>0</v>
      </c>
      <c r="S74" s="212">
        <f t="shared" si="40"/>
        <v>0</v>
      </c>
      <c r="T74" s="212">
        <f t="shared" si="40"/>
        <v>0</v>
      </c>
      <c r="U74" s="212">
        <f t="shared" si="40"/>
        <v>0</v>
      </c>
      <c r="V74" s="212">
        <f t="shared" si="40"/>
        <v>1806</v>
      </c>
      <c r="W74" s="212">
        <f t="shared" si="40"/>
        <v>0</v>
      </c>
      <c r="X74" s="212">
        <f t="shared" si="40"/>
        <v>21255000</v>
      </c>
      <c r="Y74" s="212">
        <f t="shared" si="40"/>
        <v>0</v>
      </c>
      <c r="Z74" s="212">
        <f t="shared" si="40"/>
        <v>0</v>
      </c>
      <c r="AA74" s="212">
        <f t="shared" si="40"/>
        <v>0</v>
      </c>
      <c r="AB74" s="212">
        <f t="shared" si="40"/>
        <v>0</v>
      </c>
    </row>
    <row r="75" spans="1:28" x14ac:dyDescent="0.3">
      <c r="A75" s="192" t="s">
        <v>61</v>
      </c>
      <c r="C75" s="116"/>
      <c r="D75" s="116"/>
      <c r="E75" s="116"/>
      <c r="H75" s="212">
        <f>H25+H23+H34+H35+H36+H51+H52+H55+H56+H64+H7</f>
        <v>3325</v>
      </c>
      <c r="I75" s="212">
        <f>I25+I23+I34+I35+I36+I51+I52+I55+I56+I64+I7</f>
        <v>13244</v>
      </c>
      <c r="J75" s="212">
        <f>J25+J23+J34+J35+J36+J51+J52+J55+J56+J64+J7</f>
        <v>2221</v>
      </c>
      <c r="K75" s="212">
        <f>K25+K23+K34+K35+K36+K51+K52+K55+K56+K64+K7</f>
        <v>12180</v>
      </c>
      <c r="L75" s="212">
        <f>L25+L23+L34+L35+L36+L51+L52+L55+L56+L64+L54</f>
        <v>5831614.9000000004</v>
      </c>
      <c r="M75" s="212">
        <f>M25+M23+M34+M35+M36+M51+M52+M55+M56+M64+M54</f>
        <v>5819434.9000000004</v>
      </c>
      <c r="N75" s="212">
        <f>N25+N23+N34+N35+N36+N51+N52+N55+N56+N64+N54</f>
        <v>2180</v>
      </c>
      <c r="O75" s="212">
        <f>O25+O23+O34+O35+O36+O51+O52+O55+O56+O64+O54</f>
        <v>0</v>
      </c>
      <c r="P75" s="212">
        <f>P25+P23+P34+P35+P36+P51+P52+P55+P56+P64+P54</f>
        <v>0</v>
      </c>
      <c r="Q75" s="212">
        <f>Q23+Q35+Q36+Q37+Q38+Q51+Q54+Q56+Q62+Q34+Q52+Q68</f>
        <v>17662714.899999999</v>
      </c>
      <c r="R75" s="212">
        <f t="shared" ref="R75:AB75" si="41">R23+R35+R36+R37+R38+R51+R54+R56+R62+R34+R52+R68</f>
        <v>3416921.05</v>
      </c>
      <c r="S75" s="212">
        <f t="shared" si="41"/>
        <v>15666928.84</v>
      </c>
      <c r="T75" s="212">
        <f t="shared" si="41"/>
        <v>60349325</v>
      </c>
      <c r="U75" s="212">
        <f t="shared" si="41"/>
        <v>5999539.54</v>
      </c>
      <c r="V75" s="212">
        <f t="shared" si="41"/>
        <v>10824</v>
      </c>
      <c r="W75" s="212">
        <f t="shared" si="41"/>
        <v>3270416.61</v>
      </c>
      <c r="X75" s="212">
        <f t="shared" si="41"/>
        <v>14392298.289999999</v>
      </c>
      <c r="Y75" s="212">
        <f t="shared" si="41"/>
        <v>1838758.69</v>
      </c>
      <c r="Z75" s="212">
        <f t="shared" si="41"/>
        <v>13828170.15</v>
      </c>
      <c r="AA75" s="212">
        <f t="shared" si="41"/>
        <v>2138015.89</v>
      </c>
      <c r="AB75" s="212">
        <f t="shared" si="41"/>
        <v>3861523.65</v>
      </c>
    </row>
    <row r="76" spans="1:28" x14ac:dyDescent="0.3">
      <c r="A76" s="192" t="s">
        <v>63</v>
      </c>
      <c r="H76" s="212">
        <f t="shared" ref="H76:P76" si="42">H61</f>
        <v>3104</v>
      </c>
      <c r="I76" s="212">
        <f t="shared" si="42"/>
        <v>5684</v>
      </c>
      <c r="J76" s="212">
        <f t="shared" si="42"/>
        <v>3954</v>
      </c>
      <c r="K76" s="212">
        <f t="shared" si="42"/>
        <v>5031</v>
      </c>
      <c r="L76" s="212">
        <f t="shared" si="42"/>
        <v>15914522</v>
      </c>
      <c r="M76" s="212">
        <f t="shared" si="42"/>
        <v>15909491</v>
      </c>
      <c r="N76" s="212">
        <f t="shared" si="42"/>
        <v>4385</v>
      </c>
      <c r="O76" s="212">
        <f t="shared" si="42"/>
        <v>0</v>
      </c>
      <c r="P76" s="212">
        <f t="shared" si="42"/>
        <v>0</v>
      </c>
      <c r="Q76" s="212">
        <f>Q40+Q61</f>
        <v>15914522</v>
      </c>
      <c r="R76" s="212">
        <f t="shared" ref="R76:AB76" si="43">R40+R61</f>
        <v>19253400</v>
      </c>
      <c r="S76" s="212">
        <f t="shared" si="43"/>
        <v>60930701</v>
      </c>
      <c r="T76" s="212">
        <f t="shared" si="43"/>
        <v>46725000</v>
      </c>
      <c r="U76" s="212">
        <f t="shared" si="43"/>
        <v>64126632</v>
      </c>
      <c r="V76" s="212">
        <f t="shared" si="43"/>
        <v>1808</v>
      </c>
      <c r="W76" s="212">
        <f t="shared" si="43"/>
        <v>3710522</v>
      </c>
      <c r="X76" s="212">
        <f t="shared" si="43"/>
        <v>12204000</v>
      </c>
      <c r="Y76" s="212">
        <f t="shared" si="43"/>
        <v>14205701</v>
      </c>
      <c r="Z76" s="212">
        <f t="shared" si="43"/>
        <v>46725000</v>
      </c>
      <c r="AA76" s="212">
        <f t="shared" si="43"/>
        <v>14882914</v>
      </c>
      <c r="AB76" s="212">
        <f t="shared" si="43"/>
        <v>49243718</v>
      </c>
    </row>
    <row r="77" spans="1:28" x14ac:dyDescent="0.3">
      <c r="A77" s="192" t="s">
        <v>60</v>
      </c>
      <c r="H77" s="212">
        <f>H17+H29+H30+H33+H48+H49+H50+H59+H60</f>
        <v>601453</v>
      </c>
      <c r="I77" s="212">
        <f>I17+I29+I30+I33+I48+I49+I50+I59+I60</f>
        <v>770705.8</v>
      </c>
      <c r="J77" s="212">
        <f>J17+J29+J30+J33+J48+J49+J50+J59+J60</f>
        <v>688970</v>
      </c>
      <c r="K77" s="212">
        <f>K17+K29+K30+K33+K48+K49+K50+K59+K60</f>
        <v>535811</v>
      </c>
      <c r="L77" s="212">
        <f t="shared" ref="L77:P77" si="44">L17+L29+L30+L33+L48+L49+L50+L59+L60+L19+L66+L21</f>
        <v>1037630793.11</v>
      </c>
      <c r="M77" s="212">
        <f t="shared" si="44"/>
        <v>998494982.11000001</v>
      </c>
      <c r="N77" s="212">
        <f t="shared" si="44"/>
        <v>408610</v>
      </c>
      <c r="O77" s="212">
        <f t="shared" si="44"/>
        <v>0</v>
      </c>
      <c r="P77" s="212">
        <f t="shared" si="44"/>
        <v>0</v>
      </c>
      <c r="Q77" s="212">
        <f>Q15+Q16+Q20+Q21+Q29+Q30+Q33+Q39+Q48+Q49+Q50+Q60+Q59+Q66+Q67+Q71</f>
        <v>1063656000.7199999</v>
      </c>
      <c r="R77" s="212">
        <f t="shared" ref="R77:AB77" si="45">R15+R16+R20+R21+R29+R30+R33+R39+R48+R49+R50+R60+R59+R66+R67+R71</f>
        <v>869640858</v>
      </c>
      <c r="S77" s="212">
        <f>S15+S16+S20+S21+S29+S30+S33+S39+S48+S49+S50+S60+S59+S66+S67+S71</f>
        <v>1006693083.1800001</v>
      </c>
      <c r="T77" s="212">
        <f t="shared" si="45"/>
        <v>968007381</v>
      </c>
      <c r="U77" s="212">
        <f t="shared" si="45"/>
        <v>1129403808.21</v>
      </c>
      <c r="V77" s="212">
        <f t="shared" si="45"/>
        <v>14496</v>
      </c>
      <c r="W77" s="212">
        <f t="shared" si="45"/>
        <v>77542783.530000001</v>
      </c>
      <c r="X77" s="212">
        <f t="shared" si="45"/>
        <v>962113217.19000006</v>
      </c>
      <c r="Y77" s="212">
        <f t="shared" si="45"/>
        <v>102940741.41</v>
      </c>
      <c r="Z77" s="212">
        <f t="shared" si="45"/>
        <v>903752341.76999998</v>
      </c>
      <c r="AA77" s="212">
        <f t="shared" si="45"/>
        <v>74131605</v>
      </c>
      <c r="AB77" s="212">
        <f t="shared" si="45"/>
        <v>1055272203.21</v>
      </c>
    </row>
    <row r="78" spans="1:28" x14ac:dyDescent="0.3">
      <c r="A78" s="192" t="s">
        <v>64</v>
      </c>
      <c r="H78" s="212">
        <f>H24+H63+H67</f>
        <v>110</v>
      </c>
      <c r="I78" s="212">
        <f>I24+I63+I67</f>
        <v>4134.2</v>
      </c>
      <c r="J78" s="212">
        <f>J24+J63+J67</f>
        <v>110</v>
      </c>
      <c r="K78" s="212">
        <f>K24+K63+K67</f>
        <v>1111</v>
      </c>
      <c r="L78" s="212">
        <f t="shared" ref="L78:P78" si="46">L24+L63+L42</f>
        <v>18685426.879999999</v>
      </c>
      <c r="M78" s="212">
        <f t="shared" si="46"/>
        <v>18685315.879999999</v>
      </c>
      <c r="N78" s="212">
        <f t="shared" si="46"/>
        <v>111</v>
      </c>
      <c r="O78" s="212">
        <f t="shared" si="46"/>
        <v>0</v>
      </c>
      <c r="P78" s="212">
        <f t="shared" si="46"/>
        <v>0</v>
      </c>
      <c r="Q78" s="212">
        <f>Q24+Q41+Q42+Q63+Q11</f>
        <v>27177587.879999999</v>
      </c>
      <c r="R78" s="212">
        <f t="shared" ref="R78:AB78" si="47">R24+R41+R42+R63+R11</f>
        <v>80995</v>
      </c>
      <c r="S78" s="212">
        <f t="shared" si="47"/>
        <v>201991</v>
      </c>
      <c r="T78" s="212">
        <f t="shared" si="47"/>
        <v>136203</v>
      </c>
      <c r="U78" s="212">
        <f t="shared" si="47"/>
        <v>185599</v>
      </c>
      <c r="V78" s="212">
        <f t="shared" si="47"/>
        <v>4535</v>
      </c>
      <c r="W78" s="212">
        <f t="shared" si="47"/>
        <v>16718335</v>
      </c>
      <c r="X78" s="212">
        <f t="shared" si="47"/>
        <v>10459252.879999999</v>
      </c>
      <c r="Y78" s="212">
        <f t="shared" si="47"/>
        <v>59209</v>
      </c>
      <c r="Z78" s="212">
        <f t="shared" si="47"/>
        <v>142782</v>
      </c>
      <c r="AA78" s="212">
        <f t="shared" si="47"/>
        <v>62063</v>
      </c>
      <c r="AB78" s="212">
        <f t="shared" si="47"/>
        <v>123536</v>
      </c>
    </row>
    <row r="79" spans="1:28" x14ac:dyDescent="0.3">
      <c r="A79" s="192" t="s">
        <v>62</v>
      </c>
      <c r="H79" s="212">
        <f>H13+H26+H18+H57+H58</f>
        <v>1286</v>
      </c>
      <c r="I79" s="212">
        <f>I13+I26+I18+I57+I58</f>
        <v>42332</v>
      </c>
      <c r="J79" s="212">
        <f>J13+J26+J18+J57+J58</f>
        <v>1286</v>
      </c>
      <c r="K79" s="212">
        <f>K13+K26+K18+K57+K58</f>
        <v>2581</v>
      </c>
      <c r="L79" s="212">
        <f>L13+L26+L18+L57+L58+L67+L14+L31+L71+L53</f>
        <v>74719697.219999999</v>
      </c>
      <c r="M79" s="212">
        <f>M13+M26+M18+M57+M58+M67+M14+M31+M71+M53</f>
        <v>74592116.219999999</v>
      </c>
      <c r="N79" s="212">
        <f>N13+N26+N18+N57+N58+N67+N14+N31+N71+N53</f>
        <v>2649</v>
      </c>
      <c r="O79" s="212">
        <f>O13+O26+O18+O57+O58+O67+O14+O31+O71+O53</f>
        <v>0</v>
      </c>
      <c r="P79" s="212">
        <f>P13+P26+P18+P57+P58+P67+P14+P31+P71+P53</f>
        <v>0</v>
      </c>
      <c r="Q79" s="212">
        <f>Q8+Q13+Q14+Q18+Q26+Q31+Q32+Q43+Q53+Q57+Q70+Q58</f>
        <v>86017376.159999996</v>
      </c>
      <c r="R79" s="212">
        <f t="shared" ref="R79:AB79" si="48">R8+R13+R14+R18+R26+R31+R32+R43+R53+R57+R70+R58</f>
        <v>51965387.739999995</v>
      </c>
      <c r="S79" s="212">
        <f t="shared" si="48"/>
        <v>68164415.269999996</v>
      </c>
      <c r="T79" s="212">
        <f t="shared" si="48"/>
        <v>43459201</v>
      </c>
      <c r="U79" s="212">
        <f t="shared" si="48"/>
        <v>61318000</v>
      </c>
      <c r="V79" s="212">
        <f t="shared" si="48"/>
        <v>10860</v>
      </c>
      <c r="W79" s="212">
        <f t="shared" si="48"/>
        <v>11932448.67</v>
      </c>
      <c r="X79" s="212">
        <f t="shared" si="48"/>
        <v>66749551.739999995</v>
      </c>
      <c r="Y79" s="212">
        <f t="shared" si="48"/>
        <v>18287591.640000001</v>
      </c>
      <c r="Z79" s="212">
        <f t="shared" si="48"/>
        <v>49876823.629999995</v>
      </c>
      <c r="AA79" s="212">
        <f t="shared" si="48"/>
        <v>0</v>
      </c>
      <c r="AB79" s="212">
        <f t="shared" si="48"/>
        <v>61318000</v>
      </c>
    </row>
    <row r="80" spans="1:28" x14ac:dyDescent="0.3">
      <c r="H80" s="212"/>
      <c r="I80" s="212"/>
      <c r="J80" s="212"/>
      <c r="K80" s="212"/>
      <c r="L80" s="212"/>
      <c r="M80" s="212"/>
      <c r="N80" s="212"/>
      <c r="O80" s="212"/>
      <c r="P80" s="212"/>
      <c r="Q80" s="212"/>
      <c r="R80" s="212"/>
      <c r="S80" s="212"/>
      <c r="T80" s="212"/>
      <c r="U80" s="212"/>
      <c r="V80" s="212"/>
      <c r="W80" s="212"/>
      <c r="X80" s="212"/>
      <c r="Y80" s="212"/>
      <c r="Z80" s="212"/>
      <c r="AA80" s="212"/>
      <c r="AB80" s="212"/>
    </row>
    <row r="81" spans="1:28" x14ac:dyDescent="0.3">
      <c r="H81" s="213">
        <f t="shared" ref="H81:N81" si="49">SUM(H74:H80)</f>
        <v>609278</v>
      </c>
      <c r="I81" s="213">
        <f t="shared" si="49"/>
        <v>836101</v>
      </c>
      <c r="J81" s="213">
        <f t="shared" si="49"/>
        <v>696541</v>
      </c>
      <c r="K81" s="213">
        <f t="shared" si="49"/>
        <v>556714</v>
      </c>
      <c r="L81" s="213">
        <f>SUM(L74:L80)</f>
        <v>1181501054.1100001</v>
      </c>
      <c r="M81" s="213">
        <f t="shared" si="49"/>
        <v>1134756340.1099999</v>
      </c>
      <c r="N81" s="213">
        <f t="shared" si="49"/>
        <v>417935</v>
      </c>
      <c r="O81" s="213"/>
      <c r="P81" s="213"/>
      <c r="Q81" s="213">
        <f>SUM(Q74:Q80)</f>
        <v>1231683201.6600001</v>
      </c>
      <c r="R81" s="213">
        <f t="shared" ref="R81:AB81" si="50">SUM(R74:R80)</f>
        <v>944357561.78999996</v>
      </c>
      <c r="S81" s="213">
        <f t="shared" si="50"/>
        <v>1151657119.29</v>
      </c>
      <c r="T81" s="213">
        <f t="shared" si="50"/>
        <v>1118677110</v>
      </c>
      <c r="U81" s="213">
        <f t="shared" si="50"/>
        <v>1261033578.75</v>
      </c>
      <c r="V81" s="213">
        <f t="shared" si="50"/>
        <v>44329</v>
      </c>
      <c r="W81" s="213">
        <f t="shared" si="50"/>
        <v>113174505.81</v>
      </c>
      <c r="X81" s="213">
        <f t="shared" si="50"/>
        <v>1087173320.0999999</v>
      </c>
      <c r="Y81" s="213">
        <f t="shared" si="50"/>
        <v>137332001.74000001</v>
      </c>
      <c r="Z81" s="213">
        <f t="shared" si="50"/>
        <v>1014325117.55</v>
      </c>
      <c r="AA81" s="213">
        <f t="shared" si="50"/>
        <v>91214597.890000001</v>
      </c>
      <c r="AB81" s="213">
        <f t="shared" si="50"/>
        <v>1169818980.8600001</v>
      </c>
    </row>
    <row r="82" spans="1:28" x14ac:dyDescent="0.3">
      <c r="H82" s="212"/>
      <c r="I82" s="212"/>
      <c r="J82" s="212"/>
      <c r="K82" s="212"/>
      <c r="L82" s="212"/>
      <c r="M82" s="212"/>
      <c r="N82" s="212"/>
      <c r="O82" s="212"/>
      <c r="P82" s="212"/>
      <c r="Q82" s="212"/>
      <c r="R82" s="212"/>
      <c r="S82" s="212"/>
      <c r="T82" s="212"/>
      <c r="U82" s="212"/>
      <c r="V82" s="116"/>
      <c r="W82" s="212">
        <f t="shared" ref="W82:AB82" si="51">W81-W5</f>
        <v>0</v>
      </c>
      <c r="X82" s="212">
        <f>X81-X5</f>
        <v>0</v>
      </c>
      <c r="Y82" s="212">
        <f t="shared" si="51"/>
        <v>0</v>
      </c>
      <c r="Z82" s="212">
        <f t="shared" si="51"/>
        <v>0</v>
      </c>
      <c r="AA82" s="212">
        <f t="shared" si="51"/>
        <v>0</v>
      </c>
      <c r="AB82" s="212">
        <f t="shared" si="51"/>
        <v>0</v>
      </c>
    </row>
    <row r="83" spans="1:28" x14ac:dyDescent="0.3">
      <c r="H83" s="212"/>
      <c r="I83" s="212"/>
      <c r="J83" s="212"/>
      <c r="K83" s="212"/>
      <c r="L83" s="212"/>
      <c r="M83" s="212"/>
      <c r="N83" s="212"/>
      <c r="O83" s="212"/>
      <c r="P83" s="212"/>
      <c r="Q83" s="212"/>
      <c r="R83" s="212"/>
      <c r="S83" s="212"/>
      <c r="T83" s="212"/>
      <c r="U83" s="212"/>
      <c r="V83" s="116"/>
      <c r="W83" s="212"/>
      <c r="X83" s="212"/>
      <c r="Y83" s="212"/>
      <c r="Z83" s="212"/>
      <c r="AA83" s="212"/>
      <c r="AB83" s="212"/>
    </row>
    <row r="84" spans="1:28" x14ac:dyDescent="0.3">
      <c r="A84" s="192">
        <v>0</v>
      </c>
      <c r="H84" s="212">
        <f t="shared" ref="H84:N84" si="52">H81-H5</f>
        <v>0</v>
      </c>
      <c r="I84" s="212">
        <f t="shared" si="52"/>
        <v>1</v>
      </c>
      <c r="J84" s="212">
        <f t="shared" si="52"/>
        <v>0</v>
      </c>
      <c r="K84" s="212">
        <f t="shared" si="52"/>
        <v>11000</v>
      </c>
      <c r="L84" s="212">
        <f t="shared" si="52"/>
        <v>-5775207.6099996567</v>
      </c>
      <c r="M84" s="212">
        <f t="shared" si="52"/>
        <v>-4562510.7999999523</v>
      </c>
      <c r="N84" s="212">
        <f t="shared" si="52"/>
        <v>0</v>
      </c>
      <c r="O84" s="212"/>
      <c r="P84" s="212"/>
      <c r="Q84" s="212">
        <f>Q81-Q5</f>
        <v>0</v>
      </c>
      <c r="R84" s="212">
        <f t="shared" ref="R84:AB84" si="53">R81-R5</f>
        <v>-38489000</v>
      </c>
      <c r="S84" s="212">
        <f t="shared" si="53"/>
        <v>0</v>
      </c>
      <c r="T84" s="212">
        <f t="shared" si="53"/>
        <v>-8000000</v>
      </c>
      <c r="U84" s="212">
        <f t="shared" si="53"/>
        <v>0</v>
      </c>
      <c r="V84" s="212"/>
      <c r="W84" s="212">
        <f t="shared" si="53"/>
        <v>0</v>
      </c>
      <c r="X84" s="212">
        <f>X81-X5</f>
        <v>0</v>
      </c>
      <c r="Y84" s="212">
        <f t="shared" si="53"/>
        <v>0</v>
      </c>
      <c r="Z84" s="212">
        <f t="shared" si="53"/>
        <v>0</v>
      </c>
      <c r="AA84" s="212">
        <f t="shared" si="53"/>
        <v>0</v>
      </c>
      <c r="AB84" s="212">
        <f t="shared" si="53"/>
        <v>0</v>
      </c>
    </row>
    <row r="85" spans="1:28" x14ac:dyDescent="0.3"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  <c r="AA85" s="116"/>
      <c r="AB85" s="116"/>
    </row>
    <row r="86" spans="1:28" x14ac:dyDescent="0.3"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  <c r="AA86" s="116"/>
      <c r="AB86" s="116"/>
    </row>
    <row r="87" spans="1:28" x14ac:dyDescent="0.3">
      <c r="L87" s="116"/>
      <c r="M87" s="116"/>
      <c r="N87" s="116"/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  <c r="AA87" s="116"/>
      <c r="AB87" s="116"/>
    </row>
    <row r="88" spans="1:28" x14ac:dyDescent="0.3"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116"/>
      <c r="Z88" s="116"/>
      <c r="AA88" s="116"/>
      <c r="AB88" s="116"/>
    </row>
    <row r="89" spans="1:28" x14ac:dyDescent="0.3">
      <c r="L89" s="116"/>
      <c r="M89" s="116"/>
      <c r="N89" s="116"/>
      <c r="O89" s="116"/>
      <c r="P89" s="116"/>
      <c r="Q89" s="116"/>
      <c r="R89" s="116"/>
      <c r="S89" s="116"/>
      <c r="T89" s="116"/>
      <c r="U89" s="116"/>
      <c r="V89" s="116"/>
      <c r="W89" s="116"/>
      <c r="X89" s="116"/>
      <c r="Y89" s="116"/>
      <c r="Z89" s="116"/>
      <c r="AA89" s="116"/>
      <c r="AB89" s="116"/>
    </row>
    <row r="90" spans="1:28" x14ac:dyDescent="0.3">
      <c r="L90" s="116"/>
      <c r="M90" s="116"/>
      <c r="N90" s="116"/>
      <c r="O90" s="116"/>
      <c r="P90" s="116"/>
      <c r="Q90" s="116"/>
      <c r="R90" s="116"/>
      <c r="S90" s="116"/>
      <c r="T90" s="116"/>
      <c r="U90" s="116"/>
      <c r="V90" s="116"/>
      <c r="W90" s="116"/>
      <c r="X90" s="116"/>
      <c r="Y90" s="116"/>
      <c r="Z90" s="116"/>
      <c r="AA90" s="116"/>
      <c r="AB90" s="116"/>
    </row>
    <row r="91" spans="1:28" x14ac:dyDescent="0.3">
      <c r="L91" s="116"/>
      <c r="M91" s="116"/>
      <c r="N91" s="116"/>
      <c r="O91" s="116"/>
      <c r="P91" s="116"/>
      <c r="Q91" s="116"/>
      <c r="R91" s="116"/>
      <c r="S91" s="116"/>
      <c r="T91" s="116"/>
      <c r="U91" s="116"/>
      <c r="V91" s="116"/>
      <c r="W91" s="116"/>
      <c r="X91" s="116"/>
      <c r="Y91" s="116"/>
      <c r="Z91" s="116"/>
      <c r="AA91" s="116"/>
      <c r="AB91" s="116"/>
    </row>
    <row r="92" spans="1:28" x14ac:dyDescent="0.3">
      <c r="L92" s="116"/>
      <c r="M92" s="116"/>
      <c r="N92" s="116"/>
      <c r="O92" s="116"/>
      <c r="P92" s="116"/>
      <c r="Q92" s="116"/>
      <c r="R92" s="116"/>
      <c r="S92" s="116"/>
      <c r="T92" s="116"/>
      <c r="U92" s="116"/>
      <c r="V92" s="116"/>
      <c r="W92" s="116"/>
      <c r="X92" s="116"/>
      <c r="Y92" s="116"/>
      <c r="Z92" s="116"/>
      <c r="AA92" s="116"/>
      <c r="AB92" s="116"/>
    </row>
  </sheetData>
  <mergeCells count="3">
    <mergeCell ref="A1:S1"/>
    <mergeCell ref="A2:S2"/>
    <mergeCell ref="A3:S3"/>
  </mergeCells>
  <pageMargins left="0" right="0" top="0" bottom="0" header="0.31496062992125984" footer="0.31496062992125984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B84"/>
  <sheetViews>
    <sheetView workbookViewId="0">
      <pane xSplit="7" ySplit="4" topLeftCell="O48" activePane="bottomRight" state="frozen"/>
      <selection pane="topRight" activeCell="H1" sqref="H1"/>
      <selection pane="bottomLeft" activeCell="A5" sqref="A5"/>
      <selection pane="bottomRight" activeCell="Q60" sqref="Q60"/>
    </sheetView>
  </sheetViews>
  <sheetFormatPr defaultColWidth="8.88671875" defaultRowHeight="14.4" x14ac:dyDescent="0.3"/>
  <cols>
    <col min="1" max="1" width="20.6640625" style="3" customWidth="1"/>
    <col min="2" max="2" width="68.6640625" style="3" customWidth="1"/>
    <col min="3" max="3" width="17.88671875" style="3" hidden="1" customWidth="1"/>
    <col min="4" max="4" width="16.109375" style="3" hidden="1" customWidth="1"/>
    <col min="5" max="5" width="18.5546875" style="3" hidden="1" customWidth="1"/>
    <col min="6" max="6" width="11.6640625" style="3" hidden="1" customWidth="1"/>
    <col min="7" max="7" width="11" style="3" hidden="1" customWidth="1"/>
    <col min="8" max="10" width="14.33203125" style="3" hidden="1" customWidth="1"/>
    <col min="11" max="11" width="13.6640625" style="3" hidden="1" customWidth="1"/>
    <col min="12" max="16" width="14.88671875" style="3" hidden="1" customWidth="1"/>
    <col min="17" max="21" width="14.88671875" style="3" customWidth="1"/>
    <col min="22" max="22" width="8.88671875" style="3"/>
    <col min="23" max="23" width="12.88671875" style="3" customWidth="1"/>
    <col min="24" max="24" width="14.33203125" style="102" customWidth="1"/>
    <col min="25" max="25" width="13.33203125" style="3" customWidth="1"/>
    <col min="26" max="26" width="13.5546875" style="102" customWidth="1"/>
    <col min="27" max="27" width="13.6640625" style="3" customWidth="1"/>
    <col min="28" max="28" width="13.33203125" style="102" customWidth="1"/>
    <col min="29" max="16384" width="8.88671875" style="3"/>
  </cols>
  <sheetData>
    <row r="1" spans="1:28" ht="12" customHeight="1" x14ac:dyDescent="0.3">
      <c r="A1" s="272" t="s">
        <v>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179"/>
      <c r="U1" s="179"/>
    </row>
    <row r="2" spans="1:28" ht="12" customHeight="1" x14ac:dyDescent="0.3">
      <c r="A2" s="272" t="s">
        <v>1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179"/>
      <c r="U2" s="179"/>
    </row>
    <row r="3" spans="1:28" ht="12" customHeight="1" x14ac:dyDescent="0.3">
      <c r="A3" s="278" t="s">
        <v>144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182"/>
      <c r="U3" s="182"/>
      <c r="V3" s="167" t="s">
        <v>135</v>
      </c>
    </row>
    <row r="4" spans="1:28" ht="27" x14ac:dyDescent="0.3">
      <c r="A4" s="4" t="s">
        <v>74</v>
      </c>
      <c r="B4" s="4" t="s">
        <v>2</v>
      </c>
      <c r="C4" s="4" t="s">
        <v>34</v>
      </c>
      <c r="D4" s="5" t="s">
        <v>17</v>
      </c>
      <c r="E4" s="5" t="s">
        <v>35</v>
      </c>
      <c r="H4" s="47">
        <v>2020</v>
      </c>
      <c r="I4" s="48">
        <v>2020</v>
      </c>
      <c r="J4" s="47">
        <v>2021</v>
      </c>
      <c r="K4" s="47">
        <v>2021</v>
      </c>
      <c r="L4" s="128">
        <v>2022</v>
      </c>
      <c r="M4" s="129" t="s">
        <v>117</v>
      </c>
      <c r="N4" s="129">
        <v>2022</v>
      </c>
      <c r="O4" s="129"/>
      <c r="P4" s="129"/>
      <c r="Q4" s="128">
        <v>2023</v>
      </c>
      <c r="R4" s="175" t="s">
        <v>145</v>
      </c>
      <c r="S4" s="175">
        <v>2024</v>
      </c>
      <c r="T4" s="175" t="s">
        <v>147</v>
      </c>
      <c r="U4" s="175" t="s">
        <v>146</v>
      </c>
      <c r="V4" s="167"/>
      <c r="W4" s="106" t="s">
        <v>83</v>
      </c>
      <c r="X4" s="107" t="s">
        <v>84</v>
      </c>
      <c r="Y4" s="106" t="s">
        <v>121</v>
      </c>
      <c r="Z4" s="107" t="s">
        <v>122</v>
      </c>
      <c r="AA4" s="106" t="s">
        <v>129</v>
      </c>
      <c r="AB4" s="107" t="s">
        <v>130</v>
      </c>
    </row>
    <row r="5" spans="1:28" x14ac:dyDescent="0.3">
      <c r="A5" s="171" t="s">
        <v>57</v>
      </c>
      <c r="B5" s="113" t="s">
        <v>58</v>
      </c>
      <c r="C5" s="16">
        <f t="shared" ref="C5:K5" si="0">C6-C63</f>
        <v>860978.1</v>
      </c>
      <c r="D5" s="16">
        <f t="shared" si="0"/>
        <v>360</v>
      </c>
      <c r="E5" s="16">
        <f t="shared" si="0"/>
        <v>860978084.66999996</v>
      </c>
      <c r="F5" s="16">
        <f t="shared" si="0"/>
        <v>828462.58061999991</v>
      </c>
      <c r="G5" s="16">
        <f t="shared" si="0"/>
        <v>8.0620000002749492E-2</v>
      </c>
      <c r="H5" s="16">
        <f t="shared" si="0"/>
        <v>609278</v>
      </c>
      <c r="I5" s="16">
        <f t="shared" si="0"/>
        <v>836100</v>
      </c>
      <c r="J5" s="16">
        <f t="shared" si="0"/>
        <v>696541</v>
      </c>
      <c r="K5" s="130">
        <f t="shared" si="0"/>
        <v>545714</v>
      </c>
      <c r="L5" s="137">
        <f>L6+L63</f>
        <v>965809073.66999996</v>
      </c>
      <c r="M5" s="137">
        <f>M6-M63</f>
        <v>927422359.66999996</v>
      </c>
      <c r="N5" s="137">
        <f>N6-N63</f>
        <v>417935</v>
      </c>
      <c r="O5" s="137"/>
      <c r="P5" s="137"/>
      <c r="Q5" s="137">
        <f>Q6-Q63</f>
        <v>982846560.78999996</v>
      </c>
      <c r="R5" s="137">
        <f>R6-R63</f>
        <v>1063263311</v>
      </c>
      <c r="S5" s="137">
        <f>S6-S63</f>
        <v>990778858.12</v>
      </c>
      <c r="T5" s="137">
        <f>T6-T63</f>
        <v>1078185008</v>
      </c>
      <c r="U5" s="137">
        <f>U6-U63</f>
        <v>1166521462</v>
      </c>
      <c r="V5" s="168"/>
      <c r="W5" s="23">
        <f t="shared" ref="W5:AB5" si="1">W6-W63</f>
        <v>97409865.039999992</v>
      </c>
      <c r="X5" s="110">
        <f t="shared" si="1"/>
        <v>868275208.63</v>
      </c>
      <c r="Y5" s="23">
        <f t="shared" si="1"/>
        <v>93405098.919999987</v>
      </c>
      <c r="Z5" s="110">
        <f t="shared" si="1"/>
        <v>889441461.87</v>
      </c>
      <c r="AA5" s="23">
        <f t="shared" si="1"/>
        <v>121667184.88</v>
      </c>
      <c r="AB5" s="110">
        <f t="shared" si="1"/>
        <v>869111673.24000001</v>
      </c>
    </row>
    <row r="6" spans="1:28" x14ac:dyDescent="0.3">
      <c r="A6" s="171" t="s">
        <v>22</v>
      </c>
      <c r="B6" s="165" t="s">
        <v>23</v>
      </c>
      <c r="C6" s="16">
        <f>C10+C41+C62+C7+C63</f>
        <v>864721.7</v>
      </c>
      <c r="D6" s="16">
        <f>D10+D41+D62+D7+D63</f>
        <v>360</v>
      </c>
      <c r="E6" s="16">
        <f>E10+E41+E62+E7+E63</f>
        <v>864721718.66999996</v>
      </c>
      <c r="F6" s="16">
        <f>F10+F41+F62+F7+F63</f>
        <v>832206.21461999987</v>
      </c>
      <c r="G6" s="16">
        <f>G10+G41+G62+G7+G63</f>
        <v>0.11462000000285499</v>
      </c>
      <c r="H6" s="16">
        <f>H10+H41+H62+H7+H63+H61</f>
        <v>609278</v>
      </c>
      <c r="I6" s="16">
        <f>I10+I41+I62+I7+I63+I61</f>
        <v>836100</v>
      </c>
      <c r="J6" s="16">
        <f>J10+J41+J62+J7+J63+J61</f>
        <v>696541</v>
      </c>
      <c r="K6" s="130">
        <f>K41</f>
        <v>545714</v>
      </c>
      <c r="L6" s="137">
        <f>L10+L41+L62+L7+L61+L59</f>
        <v>965685073.66999996</v>
      </c>
      <c r="M6" s="137">
        <f>M10+M41+M62+M7+M63+M61+M59</f>
        <v>927422359.66999996</v>
      </c>
      <c r="N6" s="137">
        <f>N10+N41+N62+N7+N63+N61+N59</f>
        <v>417935</v>
      </c>
      <c r="O6" s="137"/>
      <c r="P6" s="137"/>
      <c r="Q6" s="137">
        <f>Q10+Q41+Q62+Q7+Q63+Q61+Q59</f>
        <v>982846560.78999996</v>
      </c>
      <c r="R6" s="137">
        <f>R10+R41+R62+R7+R63+R61+R59</f>
        <v>1063263311</v>
      </c>
      <c r="S6" s="137">
        <f>S10+S41+S62+S7+S63+S61+S59</f>
        <v>990778858.12</v>
      </c>
      <c r="T6" s="137">
        <f>T10+T41+T62+T7+T63+T61+T59</f>
        <v>1078185008</v>
      </c>
      <c r="U6" s="137">
        <f>U10+U41+U62+U7+U63+U61+U59</f>
        <v>1166521462</v>
      </c>
      <c r="V6" s="168"/>
      <c r="W6" s="137">
        <f t="shared" ref="W6:AB6" si="2">W10+W41+W62+W7+W63+W61+W59</f>
        <v>97409865.039999992</v>
      </c>
      <c r="X6" s="137">
        <f t="shared" si="2"/>
        <v>868275208.63</v>
      </c>
      <c r="Y6" s="137">
        <f t="shared" si="2"/>
        <v>93405098.919999987</v>
      </c>
      <c r="Z6" s="137">
        <f t="shared" si="2"/>
        <v>889441461.87</v>
      </c>
      <c r="AA6" s="137">
        <f t="shared" si="2"/>
        <v>121667184.88</v>
      </c>
      <c r="AB6" s="137">
        <f t="shared" si="2"/>
        <v>869111673.24000001</v>
      </c>
    </row>
    <row r="7" spans="1:28" x14ac:dyDescent="0.3">
      <c r="A7" s="171" t="s">
        <v>36</v>
      </c>
      <c r="B7" s="165" t="s">
        <v>26</v>
      </c>
      <c r="C7" s="16">
        <f>C9</f>
        <v>34649</v>
      </c>
      <c r="D7" s="16">
        <f>D9</f>
        <v>0</v>
      </c>
      <c r="E7" s="16">
        <f>E9</f>
        <v>34649000</v>
      </c>
      <c r="F7" s="16">
        <f>F9</f>
        <v>34649</v>
      </c>
      <c r="G7" s="16">
        <f>G9</f>
        <v>0</v>
      </c>
      <c r="H7" s="16">
        <f t="shared" ref="H7:K7" si="3">H9+H8</f>
        <v>1186</v>
      </c>
      <c r="I7" s="16">
        <f t="shared" si="3"/>
        <v>1823</v>
      </c>
      <c r="J7" s="16">
        <f t="shared" si="3"/>
        <v>0</v>
      </c>
      <c r="K7" s="130">
        <f t="shared" si="3"/>
        <v>0</v>
      </c>
      <c r="L7" s="151">
        <f t="shared" ref="L7:L8" si="4">W7+X7</f>
        <v>26214000</v>
      </c>
      <c r="M7" s="25">
        <f t="shared" ref="M7:U7" si="5">M8+M9</f>
        <v>26214000</v>
      </c>
      <c r="N7" s="25">
        <f t="shared" si="5"/>
        <v>0</v>
      </c>
      <c r="O7" s="25"/>
      <c r="P7" s="25"/>
      <c r="Q7" s="137">
        <f t="shared" si="5"/>
        <v>0</v>
      </c>
      <c r="R7" s="137">
        <f t="shared" si="5"/>
        <v>18077000</v>
      </c>
      <c r="S7" s="137">
        <f t="shared" si="5"/>
        <v>0</v>
      </c>
      <c r="T7" s="137">
        <f t="shared" si="5"/>
        <v>0</v>
      </c>
      <c r="U7" s="137">
        <f t="shared" si="5"/>
        <v>0</v>
      </c>
      <c r="V7" s="169">
        <v>0</v>
      </c>
      <c r="W7" s="24">
        <f t="shared" ref="W7:AB7" si="6">W9+W8</f>
        <v>0</v>
      </c>
      <c r="X7" s="110">
        <f>X8</f>
        <v>26214000</v>
      </c>
      <c r="Y7" s="24">
        <f t="shared" si="6"/>
        <v>0</v>
      </c>
      <c r="Z7" s="110">
        <f t="shared" si="6"/>
        <v>0</v>
      </c>
      <c r="AA7" s="24">
        <f t="shared" si="6"/>
        <v>0</v>
      </c>
      <c r="AB7" s="110">
        <f t="shared" si="6"/>
        <v>0</v>
      </c>
    </row>
    <row r="8" spans="1:28" x14ac:dyDescent="0.3">
      <c r="A8" s="171" t="s">
        <v>76</v>
      </c>
      <c r="B8" s="165" t="s">
        <v>75</v>
      </c>
      <c r="C8" s="16"/>
      <c r="D8" s="16"/>
      <c r="E8" s="16"/>
      <c r="F8" s="125"/>
      <c r="G8" s="125"/>
      <c r="H8" s="114">
        <v>1186</v>
      </c>
      <c r="I8" s="114">
        <v>1186</v>
      </c>
      <c r="J8" s="16"/>
      <c r="K8" s="130">
        <v>0</v>
      </c>
      <c r="L8" s="151">
        <f t="shared" si="4"/>
        <v>26214000</v>
      </c>
      <c r="M8" s="65">
        <f t="shared" ref="M8:M9" si="7">L8-K8</f>
        <v>26214000</v>
      </c>
      <c r="N8" s="25">
        <v>0</v>
      </c>
      <c r="O8" s="25"/>
      <c r="P8" s="25"/>
      <c r="Q8" s="137">
        <v>0</v>
      </c>
      <c r="R8" s="137"/>
      <c r="S8" s="137">
        <v>0</v>
      </c>
      <c r="T8" s="137"/>
      <c r="U8" s="137"/>
      <c r="V8" s="169">
        <v>903</v>
      </c>
      <c r="W8" s="63"/>
      <c r="X8" s="111">
        <v>26214000</v>
      </c>
      <c r="Y8" s="63"/>
      <c r="Z8" s="105"/>
      <c r="AA8" s="63"/>
      <c r="AB8" s="105"/>
    </row>
    <row r="9" spans="1:28" ht="16.95" customHeight="1" x14ac:dyDescent="0.3">
      <c r="A9" s="115" t="s">
        <v>148</v>
      </c>
      <c r="B9" s="30" t="s">
        <v>149</v>
      </c>
      <c r="C9" s="16">
        <f>9649+25000</f>
        <v>34649</v>
      </c>
      <c r="D9" s="16"/>
      <c r="E9" s="25">
        <f>9649000+25000000</f>
        <v>34649000</v>
      </c>
      <c r="F9" s="116">
        <f t="shared" ref="F9:F62" si="8">E9/1000</f>
        <v>34649</v>
      </c>
      <c r="G9" s="116">
        <f t="shared" ref="G9:G62" si="9">F9-C9</f>
        <v>0</v>
      </c>
      <c r="H9" s="114"/>
      <c r="I9" s="114">
        <v>637</v>
      </c>
      <c r="J9" s="114">
        <v>0</v>
      </c>
      <c r="K9" s="131">
        <v>0</v>
      </c>
      <c r="L9" s="151">
        <f>W9+X9</f>
        <v>0</v>
      </c>
      <c r="M9" s="65">
        <f t="shared" si="7"/>
        <v>0</v>
      </c>
      <c r="N9" s="65">
        <v>0</v>
      </c>
      <c r="O9" s="65"/>
      <c r="P9" s="65"/>
      <c r="Q9" s="151">
        <f>Y9+Z9</f>
        <v>0</v>
      </c>
      <c r="R9" s="185">
        <v>18077000</v>
      </c>
      <c r="S9" s="151">
        <f>AA9+AB9</f>
        <v>0</v>
      </c>
      <c r="T9" s="151"/>
      <c r="U9" s="151"/>
      <c r="V9" s="169">
        <v>903</v>
      </c>
      <c r="W9" s="63"/>
      <c r="X9" s="111"/>
      <c r="Y9" s="63"/>
      <c r="Z9" s="105"/>
      <c r="AA9" s="63"/>
      <c r="AB9" s="105"/>
    </row>
    <row r="10" spans="1:28" ht="15.6" customHeight="1" x14ac:dyDescent="0.3">
      <c r="A10" s="171" t="s">
        <v>37</v>
      </c>
      <c r="B10" s="165" t="s">
        <v>25</v>
      </c>
      <c r="C10" s="16">
        <f t="shared" ref="C10:J10" si="10">SUM(C11:C25)</f>
        <v>99365.099999999991</v>
      </c>
      <c r="D10" s="16">
        <f t="shared" si="10"/>
        <v>0</v>
      </c>
      <c r="E10" s="16">
        <f t="shared" si="10"/>
        <v>99365090.670000002</v>
      </c>
      <c r="F10" s="16">
        <f t="shared" si="10"/>
        <v>66849.586620000002</v>
      </c>
      <c r="G10" s="16">
        <f t="shared" si="10"/>
        <v>8.6620000003062358E-2</v>
      </c>
      <c r="H10" s="16">
        <f t="shared" si="10"/>
        <v>0</v>
      </c>
      <c r="I10" s="16">
        <f>SUM(I11:I25)</f>
        <v>59336</v>
      </c>
      <c r="J10" s="16">
        <f t="shared" si="10"/>
        <v>0</v>
      </c>
      <c r="K10" s="130">
        <v>0</v>
      </c>
      <c r="L10" s="137">
        <f>SUM(L11:L25)</f>
        <v>88311273.670000002</v>
      </c>
      <c r="M10" s="137">
        <f t="shared" ref="M10:U10" si="11">SUM(M11:M25)</f>
        <v>88301273.670000002</v>
      </c>
      <c r="N10" s="137">
        <f t="shared" si="11"/>
        <v>2</v>
      </c>
      <c r="O10" s="137"/>
      <c r="P10" s="137"/>
      <c r="Q10" s="137">
        <f t="shared" si="11"/>
        <v>91677160.789999992</v>
      </c>
      <c r="R10" s="188">
        <f>SUM(R11:R25)</f>
        <v>78282311</v>
      </c>
      <c r="S10" s="137">
        <f t="shared" si="11"/>
        <v>119977858.12000002</v>
      </c>
      <c r="T10" s="137">
        <f>SUM(T11:T25)</f>
        <v>59205008</v>
      </c>
      <c r="U10" s="137">
        <f t="shared" si="11"/>
        <v>62032462</v>
      </c>
      <c r="V10" s="169"/>
      <c r="W10" s="110">
        <f>SUM(W11:W25)</f>
        <v>56230065.039999999</v>
      </c>
      <c r="X10" s="110">
        <f>SUM(X11:X25)</f>
        <v>32081208.629999999</v>
      </c>
      <c r="Y10" s="26">
        <f t="shared" ref="Y10:AB10" si="12">SUM(Y11:Y25)</f>
        <v>51023698.919999994</v>
      </c>
      <c r="Z10" s="110">
        <f t="shared" si="12"/>
        <v>40653461.869999997</v>
      </c>
      <c r="AA10" s="26">
        <f t="shared" si="12"/>
        <v>76755184.879999995</v>
      </c>
      <c r="AB10" s="110">
        <f t="shared" si="12"/>
        <v>43222673.240000002</v>
      </c>
    </row>
    <row r="11" spans="1:28" ht="37.200000000000003" customHeight="1" x14ac:dyDescent="0.3">
      <c r="A11" s="115" t="s">
        <v>66</v>
      </c>
      <c r="B11" s="30" t="s">
        <v>154</v>
      </c>
      <c r="C11" s="16">
        <v>29411</v>
      </c>
      <c r="D11" s="16"/>
      <c r="E11" s="25">
        <v>29411000</v>
      </c>
      <c r="F11" s="116">
        <f t="shared" si="8"/>
        <v>29411</v>
      </c>
      <c r="G11" s="116">
        <f t="shared" si="9"/>
        <v>0</v>
      </c>
      <c r="H11" s="114"/>
      <c r="I11" s="114">
        <v>23860</v>
      </c>
      <c r="J11" s="114"/>
      <c r="K11" s="131">
        <v>0</v>
      </c>
      <c r="L11" s="151">
        <f t="shared" ref="L11:L24" si="13">W11+X11</f>
        <v>23000000</v>
      </c>
      <c r="M11" s="65">
        <f t="shared" ref="M11:M40" si="14">L11-K11</f>
        <v>23000000</v>
      </c>
      <c r="N11" s="65">
        <v>0</v>
      </c>
      <c r="O11" s="65"/>
      <c r="P11" s="65"/>
      <c r="Q11" s="151">
        <f t="shared" ref="Q11:Q24" si="15">Y11+Z11</f>
        <v>30000000</v>
      </c>
      <c r="R11" s="177">
        <f>30000000+4500000</f>
        <v>34500000</v>
      </c>
      <c r="S11" s="151">
        <f t="shared" ref="S11:S24" si="16">AA11+AB11</f>
        <v>30000000</v>
      </c>
      <c r="T11" s="185">
        <v>30000000</v>
      </c>
      <c r="U11" s="185">
        <v>30000000</v>
      </c>
      <c r="V11" s="169">
        <v>905</v>
      </c>
      <c r="W11" s="63"/>
      <c r="X11" s="111">
        <v>23000000</v>
      </c>
      <c r="Y11" s="63"/>
      <c r="Z11" s="111">
        <v>30000000</v>
      </c>
      <c r="AA11" s="63"/>
      <c r="AB11" s="111">
        <v>30000000</v>
      </c>
    </row>
    <row r="12" spans="1:28" ht="36" customHeight="1" x14ac:dyDescent="0.3">
      <c r="A12" s="115" t="s">
        <v>118</v>
      </c>
      <c r="B12" s="30" t="s">
        <v>119</v>
      </c>
      <c r="C12" s="16"/>
      <c r="D12" s="16"/>
      <c r="E12" s="25"/>
      <c r="F12" s="116"/>
      <c r="G12" s="116"/>
      <c r="H12" s="114"/>
      <c r="I12" s="114">
        <v>0</v>
      </c>
      <c r="J12" s="114"/>
      <c r="K12" s="131">
        <v>0</v>
      </c>
      <c r="L12" s="151">
        <f t="shared" si="13"/>
        <v>0</v>
      </c>
      <c r="M12" s="65">
        <f t="shared" si="14"/>
        <v>0</v>
      </c>
      <c r="N12" s="65">
        <v>0</v>
      </c>
      <c r="O12" s="65"/>
      <c r="P12" s="65"/>
      <c r="Q12" s="151">
        <f t="shared" si="15"/>
        <v>1471000</v>
      </c>
      <c r="R12" s="177">
        <v>11250000</v>
      </c>
      <c r="S12" s="151">
        <f t="shared" si="16"/>
        <v>2500000</v>
      </c>
      <c r="T12" s="151"/>
      <c r="U12" s="151"/>
      <c r="V12" s="169">
        <v>905</v>
      </c>
      <c r="W12" s="63"/>
      <c r="X12" s="151"/>
      <c r="Y12" s="63"/>
      <c r="Z12" s="151">
        <v>1471000</v>
      </c>
      <c r="AA12" s="63"/>
      <c r="AB12" s="151">
        <v>2500000</v>
      </c>
    </row>
    <row r="13" spans="1:28" ht="90" hidden="1" customHeight="1" x14ac:dyDescent="0.3">
      <c r="A13" s="115" t="s">
        <v>51</v>
      </c>
      <c r="B13" s="117" t="s">
        <v>52</v>
      </c>
      <c r="C13" s="16">
        <v>30453.9</v>
      </c>
      <c r="D13" s="16"/>
      <c r="E13" s="25">
        <v>30453878.91</v>
      </c>
      <c r="F13" s="116"/>
      <c r="G13" s="116"/>
      <c r="H13" s="114"/>
      <c r="I13" s="114"/>
      <c r="J13" s="114"/>
      <c r="K13" s="131"/>
      <c r="L13" s="151">
        <f t="shared" si="13"/>
        <v>0</v>
      </c>
      <c r="M13" s="65">
        <f t="shared" si="14"/>
        <v>0</v>
      </c>
      <c r="N13" s="65">
        <v>0</v>
      </c>
      <c r="O13" s="65"/>
      <c r="P13" s="65"/>
      <c r="Q13" s="151">
        <f t="shared" si="15"/>
        <v>0</v>
      </c>
      <c r="R13" s="151"/>
      <c r="S13" s="151">
        <f t="shared" si="16"/>
        <v>0</v>
      </c>
      <c r="T13" s="151"/>
      <c r="U13" s="151"/>
      <c r="V13" s="169"/>
      <c r="W13" s="63"/>
      <c r="X13" s="105"/>
      <c r="Y13" s="63"/>
      <c r="Z13" s="105"/>
      <c r="AA13" s="63"/>
      <c r="AB13" s="105"/>
    </row>
    <row r="14" spans="1:28" ht="69.599999999999994" hidden="1" customHeight="1" x14ac:dyDescent="0.3">
      <c r="A14" s="115"/>
      <c r="B14" s="117" t="s">
        <v>54</v>
      </c>
      <c r="C14" s="16">
        <v>212.2</v>
      </c>
      <c r="D14" s="16"/>
      <c r="E14" s="25">
        <v>212168.14</v>
      </c>
      <c r="F14" s="116"/>
      <c r="G14" s="116"/>
      <c r="H14" s="114"/>
      <c r="I14" s="114"/>
      <c r="J14" s="114"/>
      <c r="K14" s="131"/>
      <c r="L14" s="151">
        <f t="shared" si="13"/>
        <v>0</v>
      </c>
      <c r="M14" s="65">
        <f t="shared" si="14"/>
        <v>0</v>
      </c>
      <c r="N14" s="65">
        <v>0</v>
      </c>
      <c r="O14" s="65"/>
      <c r="P14" s="65"/>
      <c r="Q14" s="151">
        <f t="shared" si="15"/>
        <v>0</v>
      </c>
      <c r="R14" s="151"/>
      <c r="S14" s="151">
        <f t="shared" si="16"/>
        <v>0</v>
      </c>
      <c r="T14" s="151"/>
      <c r="U14" s="151"/>
      <c r="V14" s="169"/>
      <c r="W14" s="63"/>
      <c r="X14" s="105"/>
      <c r="Y14" s="63"/>
      <c r="Z14" s="105"/>
      <c r="AA14" s="63"/>
      <c r="AB14" s="105"/>
    </row>
    <row r="15" spans="1:28" ht="25.95" customHeight="1" x14ac:dyDescent="0.3">
      <c r="A15" s="115" t="s">
        <v>68</v>
      </c>
      <c r="B15" s="118" t="s">
        <v>69</v>
      </c>
      <c r="C15" s="25"/>
      <c r="D15" s="25"/>
      <c r="E15" s="25"/>
      <c r="F15" s="116"/>
      <c r="G15" s="116"/>
      <c r="H15" s="114"/>
      <c r="I15" s="114">
        <v>0</v>
      </c>
      <c r="J15" s="114"/>
      <c r="K15" s="131">
        <v>0</v>
      </c>
      <c r="L15" s="151">
        <f t="shared" si="13"/>
        <v>0</v>
      </c>
      <c r="M15" s="65">
        <f t="shared" si="14"/>
        <v>0</v>
      </c>
      <c r="N15" s="65">
        <v>0</v>
      </c>
      <c r="O15" s="65"/>
      <c r="P15" s="65"/>
      <c r="Q15" s="151">
        <f t="shared" si="15"/>
        <v>0</v>
      </c>
      <c r="R15" s="151"/>
      <c r="S15" s="151">
        <f t="shared" si="16"/>
        <v>11422109.99</v>
      </c>
      <c r="T15" s="151"/>
      <c r="U15" s="151"/>
      <c r="V15" s="169">
        <v>906</v>
      </c>
      <c r="W15" s="63"/>
      <c r="X15" s="105"/>
      <c r="Y15" s="63"/>
      <c r="Z15" s="105"/>
      <c r="AA15" s="63">
        <v>11307888.880000001</v>
      </c>
      <c r="AB15" s="105">
        <v>114221.11</v>
      </c>
    </row>
    <row r="16" spans="1:28" ht="40.200000000000003" customHeight="1" x14ac:dyDescent="0.3">
      <c r="A16" s="115" t="s">
        <v>85</v>
      </c>
      <c r="B16" s="165" t="s">
        <v>99</v>
      </c>
      <c r="C16" s="16"/>
      <c r="D16" s="16"/>
      <c r="E16" s="25"/>
      <c r="F16" s="116"/>
      <c r="G16" s="116"/>
      <c r="H16" s="114"/>
      <c r="I16" s="114">
        <v>0</v>
      </c>
      <c r="J16" s="114"/>
      <c r="K16" s="131">
        <v>0</v>
      </c>
      <c r="L16" s="151">
        <f>W16+X16</f>
        <v>1002800</v>
      </c>
      <c r="M16" s="65">
        <f t="shared" si="14"/>
        <v>1002800</v>
      </c>
      <c r="N16" s="65">
        <v>0</v>
      </c>
      <c r="O16" s="65"/>
      <c r="P16" s="65"/>
      <c r="Q16" s="151">
        <f t="shared" si="15"/>
        <v>437200</v>
      </c>
      <c r="R16" s="151"/>
      <c r="S16" s="151">
        <f t="shared" si="16"/>
        <v>0</v>
      </c>
      <c r="T16" s="151"/>
      <c r="U16" s="151"/>
      <c r="V16" s="169">
        <v>905</v>
      </c>
      <c r="W16" s="63">
        <v>901800</v>
      </c>
      <c r="X16" s="105">
        <v>101000</v>
      </c>
      <c r="Y16" s="63">
        <v>393500</v>
      </c>
      <c r="Z16" s="105">
        <v>43700</v>
      </c>
      <c r="AA16" s="63"/>
      <c r="AB16" s="105"/>
    </row>
    <row r="17" spans="1:28" ht="40.200000000000003" customHeight="1" x14ac:dyDescent="0.3">
      <c r="A17" s="115" t="s">
        <v>132</v>
      </c>
      <c r="B17" s="165" t="s">
        <v>133</v>
      </c>
      <c r="C17" s="16"/>
      <c r="D17" s="16"/>
      <c r="E17" s="25"/>
      <c r="F17" s="116"/>
      <c r="G17" s="116"/>
      <c r="H17" s="114"/>
      <c r="I17" s="114"/>
      <c r="J17" s="114"/>
      <c r="K17" s="131"/>
      <c r="L17" s="151">
        <f t="shared" ref="L17" si="17">W17+X17</f>
        <v>0</v>
      </c>
      <c r="M17" s="65">
        <f t="shared" si="14"/>
        <v>0</v>
      </c>
      <c r="N17" s="65">
        <v>1</v>
      </c>
      <c r="O17" s="65"/>
      <c r="P17" s="65"/>
      <c r="Q17" s="151">
        <f t="shared" si="15"/>
        <v>0</v>
      </c>
      <c r="R17" s="151"/>
      <c r="S17" s="151">
        <f t="shared" si="16"/>
        <v>12000000</v>
      </c>
      <c r="T17" s="151"/>
      <c r="U17" s="151"/>
      <c r="V17" s="169">
        <v>906</v>
      </c>
      <c r="W17" s="63"/>
      <c r="X17" s="105"/>
      <c r="Y17" s="63"/>
      <c r="Z17" s="105"/>
      <c r="AA17" s="63">
        <v>11880000</v>
      </c>
      <c r="AB17" s="105">
        <v>120000</v>
      </c>
    </row>
    <row r="18" spans="1:28" ht="35.4" customHeight="1" x14ac:dyDescent="0.3">
      <c r="A18" s="115" t="s">
        <v>112</v>
      </c>
      <c r="B18" s="165" t="s">
        <v>113</v>
      </c>
      <c r="C18" s="16"/>
      <c r="D18" s="16"/>
      <c r="E18" s="25"/>
      <c r="F18" s="116"/>
      <c r="G18" s="116"/>
      <c r="H18" s="114"/>
      <c r="I18" s="114"/>
      <c r="J18" s="114"/>
      <c r="K18" s="131">
        <v>0</v>
      </c>
      <c r="L18" s="151">
        <f t="shared" si="13"/>
        <v>38569434</v>
      </c>
      <c r="M18" s="65">
        <f t="shared" si="14"/>
        <v>38569434</v>
      </c>
      <c r="N18" s="65">
        <v>1</v>
      </c>
      <c r="O18" s="65"/>
      <c r="P18" s="65"/>
      <c r="Q18" s="151">
        <f t="shared" si="15"/>
        <v>36323037</v>
      </c>
      <c r="R18" s="151"/>
      <c r="S18" s="151">
        <f t="shared" si="16"/>
        <v>37343133</v>
      </c>
      <c r="T18" s="151"/>
      <c r="U18" s="151"/>
      <c r="V18" s="169">
        <v>906</v>
      </c>
      <c r="W18" s="63">
        <v>34712491</v>
      </c>
      <c r="X18" s="105">
        <v>3856943</v>
      </c>
      <c r="Y18" s="63">
        <v>32690733</v>
      </c>
      <c r="Z18" s="105">
        <v>3632304</v>
      </c>
      <c r="AA18" s="63">
        <v>33608820</v>
      </c>
      <c r="AB18" s="105">
        <v>3734313</v>
      </c>
    </row>
    <row r="19" spans="1:28" ht="30" customHeight="1" x14ac:dyDescent="0.3">
      <c r="A19" s="183" t="s">
        <v>150</v>
      </c>
      <c r="B19" s="42" t="s">
        <v>151</v>
      </c>
      <c r="C19" s="56"/>
      <c r="D19" s="56"/>
      <c r="E19" s="57"/>
      <c r="F19" s="51"/>
      <c r="G19" s="51"/>
      <c r="H19" s="61"/>
      <c r="I19" s="61"/>
      <c r="J19" s="61"/>
      <c r="K19" s="184"/>
      <c r="L19" s="66"/>
      <c r="M19" s="66"/>
      <c r="N19" s="66"/>
      <c r="O19" s="66"/>
      <c r="P19" s="66"/>
      <c r="Q19" s="66"/>
      <c r="R19" s="66"/>
      <c r="S19" s="66"/>
      <c r="T19" s="186">
        <v>8000000</v>
      </c>
      <c r="U19" s="186">
        <v>21010000</v>
      </c>
      <c r="V19" s="176">
        <v>905</v>
      </c>
      <c r="W19" s="63"/>
      <c r="X19" s="105"/>
      <c r="Y19" s="63"/>
      <c r="Z19" s="105"/>
      <c r="AA19" s="63"/>
      <c r="AB19" s="105"/>
    </row>
    <row r="20" spans="1:28" ht="37.5" customHeight="1" x14ac:dyDescent="0.3">
      <c r="A20" s="119" t="s">
        <v>41</v>
      </c>
      <c r="B20" s="40" t="s">
        <v>70</v>
      </c>
      <c r="C20" s="25">
        <v>1770.5</v>
      </c>
      <c r="D20" s="25"/>
      <c r="E20" s="25">
        <v>1770457</v>
      </c>
      <c r="F20" s="116"/>
      <c r="G20" s="116"/>
      <c r="H20" s="114"/>
      <c r="I20" s="114">
        <v>2906</v>
      </c>
      <c r="J20" s="114"/>
      <c r="K20" s="131">
        <v>0</v>
      </c>
      <c r="L20" s="151">
        <f t="shared" si="13"/>
        <v>1337743.5999999999</v>
      </c>
      <c r="M20" s="65">
        <f t="shared" si="14"/>
        <v>1337743.5999999999</v>
      </c>
      <c r="N20" s="65">
        <v>0</v>
      </c>
      <c r="O20" s="65"/>
      <c r="P20" s="65"/>
      <c r="Q20" s="151">
        <f t="shared" si="15"/>
        <v>1380921.05</v>
      </c>
      <c r="R20" s="151"/>
      <c r="S20" s="151">
        <f t="shared" si="16"/>
        <v>1581166.04</v>
      </c>
      <c r="T20" s="151"/>
      <c r="U20" s="151"/>
      <c r="V20" s="169">
        <v>902</v>
      </c>
      <c r="W20" s="63">
        <v>1060634.92</v>
      </c>
      <c r="X20" s="105">
        <v>277108.68</v>
      </c>
      <c r="Y20" s="63">
        <v>1094794.05</v>
      </c>
      <c r="Z20" s="105">
        <v>286127</v>
      </c>
      <c r="AA20" s="63">
        <v>1250281.25</v>
      </c>
      <c r="AB20" s="105">
        <v>330884.78999999998</v>
      </c>
    </row>
    <row r="21" spans="1:28" x14ac:dyDescent="0.3">
      <c r="A21" s="171" t="s">
        <v>38</v>
      </c>
      <c r="B21" s="30" t="s">
        <v>131</v>
      </c>
      <c r="C21" s="16">
        <v>19.2</v>
      </c>
      <c r="D21" s="16"/>
      <c r="E21" s="25">
        <v>19200</v>
      </c>
      <c r="F21" s="116">
        <f>E21/1000</f>
        <v>19.2</v>
      </c>
      <c r="G21" s="116">
        <f>F21-C21</f>
        <v>0</v>
      </c>
      <c r="H21" s="114"/>
      <c r="I21" s="114">
        <v>4024.2</v>
      </c>
      <c r="J21" s="114"/>
      <c r="K21" s="131">
        <v>0</v>
      </c>
      <c r="L21" s="151">
        <f t="shared" si="13"/>
        <v>8683217</v>
      </c>
      <c r="M21" s="65">
        <f t="shared" si="14"/>
        <v>8683217</v>
      </c>
      <c r="N21" s="65">
        <v>0</v>
      </c>
      <c r="O21" s="65"/>
      <c r="P21" s="65"/>
      <c r="Q21" s="151">
        <f>Y21+Z21</f>
        <v>80995</v>
      </c>
      <c r="R21" s="177">
        <v>1940161</v>
      </c>
      <c r="S21" s="151">
        <f t="shared" si="16"/>
        <v>80995</v>
      </c>
      <c r="T21" s="185">
        <v>26139</v>
      </c>
      <c r="U21" s="185">
        <v>26139</v>
      </c>
      <c r="V21" s="169">
        <v>907</v>
      </c>
      <c r="W21" s="63">
        <f>7742000+72896</f>
        <v>7814896</v>
      </c>
      <c r="X21" s="105">
        <f>860222+8099</f>
        <v>868321</v>
      </c>
      <c r="Y21" s="63">
        <v>72896</v>
      </c>
      <c r="Z21" s="105">
        <v>8099</v>
      </c>
      <c r="AA21" s="63">
        <v>72896</v>
      </c>
      <c r="AB21" s="105">
        <v>8099</v>
      </c>
    </row>
    <row r="22" spans="1:28" ht="59.25" customHeight="1" x14ac:dyDescent="0.3">
      <c r="A22" s="115" t="s">
        <v>78</v>
      </c>
      <c r="B22" s="118" t="s">
        <v>125</v>
      </c>
      <c r="C22" s="25">
        <v>10592.8</v>
      </c>
      <c r="D22" s="25"/>
      <c r="E22" s="25">
        <v>10592830</v>
      </c>
      <c r="F22" s="116">
        <f>E22/1000</f>
        <v>10592.83</v>
      </c>
      <c r="G22" s="116">
        <f>F22-C22</f>
        <v>3.0000000000654836E-2</v>
      </c>
      <c r="H22" s="114"/>
      <c r="I22" s="114">
        <v>5000</v>
      </c>
      <c r="J22" s="114"/>
      <c r="K22" s="131">
        <v>10000</v>
      </c>
      <c r="L22" s="151">
        <f t="shared" si="13"/>
        <v>0</v>
      </c>
      <c r="M22" s="65">
        <f t="shared" si="14"/>
        <v>-10000</v>
      </c>
      <c r="N22" s="65">
        <v>0</v>
      </c>
      <c r="O22" s="65"/>
      <c r="P22" s="65"/>
      <c r="Q22" s="151">
        <f t="shared" si="15"/>
        <v>0</v>
      </c>
      <c r="R22" s="151"/>
      <c r="S22" s="151">
        <f t="shared" si="16"/>
        <v>0</v>
      </c>
      <c r="T22" s="151"/>
      <c r="U22" s="151"/>
      <c r="V22" s="169" t="s">
        <v>61</v>
      </c>
      <c r="W22" s="63"/>
      <c r="X22" s="105"/>
      <c r="Y22" s="63"/>
      <c r="Z22" s="105"/>
      <c r="AA22" s="63"/>
      <c r="AB22" s="105"/>
    </row>
    <row r="23" spans="1:28" ht="27.75" customHeight="1" x14ac:dyDescent="0.3">
      <c r="A23" s="171" t="s">
        <v>39</v>
      </c>
      <c r="B23" s="30" t="s">
        <v>59</v>
      </c>
      <c r="C23" s="25">
        <v>19852.8</v>
      </c>
      <c r="D23" s="25"/>
      <c r="E23" s="25">
        <v>19852840.23</v>
      </c>
      <c r="F23" s="116">
        <f t="shared" si="8"/>
        <v>19852.840230000002</v>
      </c>
      <c r="G23" s="116">
        <f t="shared" si="9"/>
        <v>4.0230000002338784E-2</v>
      </c>
      <c r="H23" s="114"/>
      <c r="I23" s="114">
        <v>17176</v>
      </c>
      <c r="J23" s="114"/>
      <c r="K23" s="131">
        <v>0</v>
      </c>
      <c r="L23" s="151">
        <f t="shared" si="13"/>
        <v>11858831.43</v>
      </c>
      <c r="M23" s="65">
        <f t="shared" si="14"/>
        <v>11858831.43</v>
      </c>
      <c r="N23" s="65">
        <v>0</v>
      </c>
      <c r="O23" s="65"/>
      <c r="P23" s="65"/>
      <c r="Q23" s="151">
        <f>Y23+Z23</f>
        <v>16941187.739999998</v>
      </c>
      <c r="R23" s="185">
        <v>4000000</v>
      </c>
      <c r="S23" s="151">
        <f t="shared" si="16"/>
        <v>18823534.09</v>
      </c>
      <c r="T23" s="151"/>
      <c r="U23" s="151"/>
      <c r="V23" s="169">
        <v>905</v>
      </c>
      <c r="W23" s="6">
        <v>11740243.119999999</v>
      </c>
      <c r="X23" s="105">
        <v>118588.31</v>
      </c>
      <c r="Y23" s="63">
        <v>16771775.869999999</v>
      </c>
      <c r="Z23" s="105">
        <v>169411.87</v>
      </c>
      <c r="AA23" s="63">
        <v>18635298.75</v>
      </c>
      <c r="AB23" s="105">
        <v>188235.34</v>
      </c>
    </row>
    <row r="24" spans="1:28" ht="24.6" x14ac:dyDescent="0.3">
      <c r="A24" s="119" t="s">
        <v>40</v>
      </c>
      <c r="B24" s="120" t="s">
        <v>24</v>
      </c>
      <c r="C24" s="25"/>
      <c r="D24" s="25"/>
      <c r="E24" s="25"/>
      <c r="F24" s="116">
        <f t="shared" si="8"/>
        <v>0</v>
      </c>
      <c r="G24" s="116">
        <f t="shared" si="9"/>
        <v>0</v>
      </c>
      <c r="H24" s="114"/>
      <c r="I24" s="114"/>
      <c r="J24" s="114"/>
      <c r="K24" s="131">
        <v>0</v>
      </c>
      <c r="L24" s="151">
        <f t="shared" si="13"/>
        <v>0</v>
      </c>
      <c r="M24" s="65">
        <f t="shared" si="14"/>
        <v>0</v>
      </c>
      <c r="N24" s="65">
        <v>0</v>
      </c>
      <c r="O24" s="65"/>
      <c r="P24" s="65"/>
      <c r="Q24" s="151">
        <f t="shared" si="15"/>
        <v>0</v>
      </c>
      <c r="R24" s="151"/>
      <c r="S24" s="151">
        <f t="shared" si="16"/>
        <v>0</v>
      </c>
      <c r="T24" s="151"/>
      <c r="U24" s="151"/>
      <c r="V24" s="169"/>
      <c r="W24" s="63"/>
      <c r="X24" s="105"/>
      <c r="Y24" s="63"/>
      <c r="Z24" s="105"/>
      <c r="AA24" s="63"/>
      <c r="AB24" s="105"/>
    </row>
    <row r="25" spans="1:28" x14ac:dyDescent="0.3">
      <c r="A25" s="171" t="s">
        <v>42</v>
      </c>
      <c r="B25" s="30" t="s">
        <v>20</v>
      </c>
      <c r="C25" s="25">
        <f>C26+C27+C30+C32+C37+C28+C31+C38+C39+C40</f>
        <v>7052.7</v>
      </c>
      <c r="D25" s="25">
        <f>D26+D27+D30+D32+D37+D28+D31+D38+D39+D40</f>
        <v>0</v>
      </c>
      <c r="E25" s="25">
        <f>E26+E27+E30+E32+E37+E28+E31+E38+E39+E40</f>
        <v>7052716.3899999997</v>
      </c>
      <c r="F25" s="25">
        <f>F26+F27+F30+F32+F37+F28+F31+F38+F39+F40</f>
        <v>6973.7163900000005</v>
      </c>
      <c r="G25" s="25">
        <f>G26+G27+G30+G32+G37+G28+G31+G38+G39+G40</f>
        <v>1.6390000000068738E-2</v>
      </c>
      <c r="H25" s="16">
        <f t="shared" ref="H25:N25" si="18">SUM(H26:H40)</f>
        <v>0</v>
      </c>
      <c r="I25" s="16">
        <f t="shared" si="18"/>
        <v>6369.8</v>
      </c>
      <c r="J25" s="16">
        <f t="shared" si="18"/>
        <v>0</v>
      </c>
      <c r="K25" s="130">
        <f t="shared" si="18"/>
        <v>0</v>
      </c>
      <c r="L25" s="137">
        <f t="shared" si="18"/>
        <v>3859247.64</v>
      </c>
      <c r="M25" s="65">
        <f t="shared" si="14"/>
        <v>3859247.64</v>
      </c>
      <c r="N25" s="32">
        <f t="shared" si="18"/>
        <v>0</v>
      </c>
      <c r="O25" s="32"/>
      <c r="P25" s="32"/>
      <c r="Q25" s="137">
        <f>SUM(Q26:Q40)</f>
        <v>5042820</v>
      </c>
      <c r="R25" s="137">
        <f>SUM(R26:R40)</f>
        <v>26592150</v>
      </c>
      <c r="S25" s="137">
        <f t="shared" ref="S25:U25" si="19">SUM(S26:S40)</f>
        <v>6226920</v>
      </c>
      <c r="T25" s="137">
        <f t="shared" si="19"/>
        <v>21178869</v>
      </c>
      <c r="U25" s="137">
        <f t="shared" si="19"/>
        <v>10996323</v>
      </c>
      <c r="V25" s="169"/>
      <c r="W25" s="110">
        <f t="shared" ref="W25:AB25" si="20">SUM(W26:W40)</f>
        <v>0</v>
      </c>
      <c r="X25" s="110">
        <f t="shared" si="20"/>
        <v>3859247.64</v>
      </c>
      <c r="Y25" s="28">
        <f t="shared" si="20"/>
        <v>0</v>
      </c>
      <c r="Z25" s="110">
        <f t="shared" si="20"/>
        <v>5042820</v>
      </c>
      <c r="AA25" s="28">
        <f t="shared" si="20"/>
        <v>0</v>
      </c>
      <c r="AB25" s="110">
        <f t="shared" si="20"/>
        <v>6226920</v>
      </c>
    </row>
    <row r="26" spans="1:28" ht="14.4" customHeight="1" x14ac:dyDescent="0.3">
      <c r="A26" s="171"/>
      <c r="B26" s="30" t="s">
        <v>21</v>
      </c>
      <c r="C26" s="25">
        <f>3236+2126</f>
        <v>5362</v>
      </c>
      <c r="D26" s="25"/>
      <c r="E26" s="25">
        <f>3236000+2126000</f>
        <v>5362000</v>
      </c>
      <c r="F26" s="116">
        <f t="shared" si="8"/>
        <v>5362</v>
      </c>
      <c r="G26" s="116">
        <f t="shared" si="9"/>
        <v>0</v>
      </c>
      <c r="H26" s="114"/>
      <c r="I26" s="114">
        <v>5412</v>
      </c>
      <c r="J26" s="114"/>
      <c r="K26" s="131">
        <v>0</v>
      </c>
      <c r="L26" s="151">
        <f t="shared" ref="L26:L40" si="21">W26+X26</f>
        <v>1173820</v>
      </c>
      <c r="M26" s="65">
        <f t="shared" si="14"/>
        <v>1173820</v>
      </c>
      <c r="N26" s="65">
        <v>0</v>
      </c>
      <c r="O26" s="65"/>
      <c r="P26" s="65"/>
      <c r="Q26" s="151">
        <f>Y26+Z26</f>
        <v>1173820</v>
      </c>
      <c r="R26" s="177">
        <v>2314762</v>
      </c>
      <c r="S26" s="151">
        <f t="shared" ref="S26:S40" si="22">AA26+AB26</f>
        <v>1173820</v>
      </c>
      <c r="T26" s="185">
        <v>1157381</v>
      </c>
      <c r="U26" s="185">
        <v>1157381</v>
      </c>
      <c r="V26" s="169">
        <v>906</v>
      </c>
      <c r="W26" s="63">
        <v>0</v>
      </c>
      <c r="X26" s="111">
        <v>1173820</v>
      </c>
      <c r="Y26" s="63"/>
      <c r="Z26" s="111">
        <v>1173820</v>
      </c>
      <c r="AA26" s="63"/>
      <c r="AB26" s="111">
        <v>1173820</v>
      </c>
    </row>
    <row r="27" spans="1:28" ht="16.2" customHeight="1" x14ac:dyDescent="0.3">
      <c r="A27" s="171"/>
      <c r="B27" s="30" t="s">
        <v>123</v>
      </c>
      <c r="C27" s="25">
        <v>500</v>
      </c>
      <c r="D27" s="25"/>
      <c r="E27" s="25">
        <v>500000</v>
      </c>
      <c r="F27" s="116">
        <f t="shared" si="8"/>
        <v>500</v>
      </c>
      <c r="G27" s="116">
        <f t="shared" si="9"/>
        <v>0</v>
      </c>
      <c r="H27" s="114"/>
      <c r="I27" s="114">
        <v>543.79999999999995</v>
      </c>
      <c r="J27" s="114"/>
      <c r="K27" s="131">
        <v>0</v>
      </c>
      <c r="L27" s="151">
        <f t="shared" si="21"/>
        <v>1000000</v>
      </c>
      <c r="M27" s="65">
        <f t="shared" si="14"/>
        <v>1000000</v>
      </c>
      <c r="N27" s="65">
        <v>0</v>
      </c>
      <c r="O27" s="65"/>
      <c r="P27" s="65"/>
      <c r="Q27" s="151">
        <f t="shared" ref="Q27:Q40" si="23">Y27+Z27</f>
        <v>1700000</v>
      </c>
      <c r="R27" s="177">
        <v>7945000</v>
      </c>
      <c r="S27" s="151">
        <f t="shared" si="22"/>
        <v>2017000</v>
      </c>
      <c r="T27" s="185">
        <v>4295000</v>
      </c>
      <c r="U27" s="185">
        <v>3795000</v>
      </c>
      <c r="V27" s="169">
        <v>906</v>
      </c>
      <c r="W27" s="63"/>
      <c r="X27" s="111">
        <v>1000000</v>
      </c>
      <c r="Y27" s="63"/>
      <c r="Z27" s="111">
        <v>1700000</v>
      </c>
      <c r="AA27" s="63"/>
      <c r="AB27" s="111">
        <v>2017000</v>
      </c>
    </row>
    <row r="28" spans="1:28" ht="16.95" customHeight="1" x14ac:dyDescent="0.3">
      <c r="A28" s="171"/>
      <c r="B28" s="40" t="s">
        <v>120</v>
      </c>
      <c r="C28" s="25"/>
      <c r="D28" s="25"/>
      <c r="E28" s="25"/>
      <c r="F28" s="116">
        <f t="shared" si="8"/>
        <v>0</v>
      </c>
      <c r="G28" s="116">
        <f t="shared" si="9"/>
        <v>0</v>
      </c>
      <c r="H28" s="114"/>
      <c r="I28" s="114"/>
      <c r="J28" s="114"/>
      <c r="K28" s="131">
        <v>0</v>
      </c>
      <c r="L28" s="151">
        <f t="shared" si="21"/>
        <v>0</v>
      </c>
      <c r="M28" s="65">
        <f t="shared" si="14"/>
        <v>0</v>
      </c>
      <c r="N28" s="65">
        <v>0</v>
      </c>
      <c r="O28" s="65"/>
      <c r="P28" s="65"/>
      <c r="Q28" s="151">
        <f t="shared" si="23"/>
        <v>0</v>
      </c>
      <c r="R28" s="151"/>
      <c r="S28" s="151">
        <f t="shared" si="22"/>
        <v>1767100</v>
      </c>
      <c r="T28" s="185">
        <v>1767100</v>
      </c>
      <c r="U28" s="151"/>
      <c r="V28" s="169">
        <v>905</v>
      </c>
      <c r="W28" s="63"/>
      <c r="X28" s="105"/>
      <c r="Y28" s="63"/>
      <c r="Z28" s="105"/>
      <c r="AA28" s="63"/>
      <c r="AB28" s="105">
        <v>1767100</v>
      </c>
    </row>
    <row r="29" spans="1:28" ht="24.6" x14ac:dyDescent="0.3">
      <c r="A29" s="171"/>
      <c r="B29" s="121" t="s">
        <v>88</v>
      </c>
      <c r="C29" s="25"/>
      <c r="D29" s="25"/>
      <c r="E29" s="25"/>
      <c r="F29" s="116"/>
      <c r="G29" s="116"/>
      <c r="H29" s="114"/>
      <c r="I29" s="114"/>
      <c r="J29" s="114"/>
      <c r="K29" s="131">
        <v>0</v>
      </c>
      <c r="L29" s="151">
        <f t="shared" si="21"/>
        <v>1000000</v>
      </c>
      <c r="M29" s="65">
        <f t="shared" si="14"/>
        <v>1000000</v>
      </c>
      <c r="N29" s="65">
        <v>0</v>
      </c>
      <c r="O29" s="65"/>
      <c r="P29" s="65"/>
      <c r="Q29" s="151">
        <f t="shared" si="23"/>
        <v>1500000</v>
      </c>
      <c r="R29" s="177">
        <v>5001000</v>
      </c>
      <c r="S29" s="151">
        <f t="shared" si="22"/>
        <v>600000</v>
      </c>
      <c r="T29" s="185">
        <v>2701000</v>
      </c>
      <c r="U29" s="185">
        <v>2988900</v>
      </c>
      <c r="V29" s="169">
        <v>906</v>
      </c>
      <c r="W29" s="63"/>
      <c r="X29" s="105">
        <v>1000000</v>
      </c>
      <c r="Y29" s="63"/>
      <c r="Z29" s="111">
        <v>1500000</v>
      </c>
      <c r="AA29" s="63"/>
      <c r="AB29" s="111">
        <v>600000</v>
      </c>
    </row>
    <row r="30" spans="1:28" ht="15" customHeight="1" x14ac:dyDescent="0.3">
      <c r="A30" s="171"/>
      <c r="B30" s="30" t="s">
        <v>89</v>
      </c>
      <c r="C30" s="25">
        <v>508.9</v>
      </c>
      <c r="D30" s="25"/>
      <c r="E30" s="25">
        <v>508947.39</v>
      </c>
      <c r="F30" s="116">
        <f t="shared" si="8"/>
        <v>508.94739000000004</v>
      </c>
      <c r="G30" s="116">
        <f t="shared" si="9"/>
        <v>4.7390000000063992E-2</v>
      </c>
      <c r="H30" s="114"/>
      <c r="I30" s="114">
        <v>111</v>
      </c>
      <c r="J30" s="114"/>
      <c r="K30" s="131">
        <v>0</v>
      </c>
      <c r="L30" s="151">
        <f t="shared" si="21"/>
        <v>109000</v>
      </c>
      <c r="M30" s="65">
        <f t="shared" si="14"/>
        <v>109000</v>
      </c>
      <c r="N30" s="65">
        <v>0</v>
      </c>
      <c r="O30" s="65"/>
      <c r="P30" s="65"/>
      <c r="Q30" s="151">
        <f t="shared" si="23"/>
        <v>109000</v>
      </c>
      <c r="R30" s="177">
        <v>182000</v>
      </c>
      <c r="S30" s="151">
        <f t="shared" si="22"/>
        <v>109000</v>
      </c>
      <c r="T30" s="185">
        <v>109000</v>
      </c>
      <c r="U30" s="185">
        <v>109000</v>
      </c>
      <c r="V30" s="169">
        <v>902</v>
      </c>
      <c r="W30" s="63"/>
      <c r="X30" s="111">
        <v>109000</v>
      </c>
      <c r="Y30" s="63"/>
      <c r="Z30" s="111">
        <v>109000</v>
      </c>
      <c r="AA30" s="63"/>
      <c r="AB30" s="111">
        <v>109000</v>
      </c>
    </row>
    <row r="31" spans="1:28" ht="42.75" customHeight="1" x14ac:dyDescent="0.3">
      <c r="A31" s="171"/>
      <c r="B31" s="30" t="s">
        <v>31</v>
      </c>
      <c r="C31" s="16">
        <v>31.3</v>
      </c>
      <c r="D31" s="16"/>
      <c r="E31" s="25">
        <v>31250</v>
      </c>
      <c r="F31" s="116">
        <f t="shared" si="8"/>
        <v>31.25</v>
      </c>
      <c r="G31" s="116">
        <f t="shared" si="9"/>
        <v>-5.0000000000000711E-2</v>
      </c>
      <c r="H31" s="114"/>
      <c r="I31" s="114">
        <v>32</v>
      </c>
      <c r="J31" s="114"/>
      <c r="K31" s="131">
        <v>0</v>
      </c>
      <c r="L31" s="151">
        <f t="shared" si="21"/>
        <v>105000</v>
      </c>
      <c r="M31" s="65">
        <f t="shared" si="14"/>
        <v>105000</v>
      </c>
      <c r="N31" s="65">
        <v>0</v>
      </c>
      <c r="O31" s="65"/>
      <c r="P31" s="65"/>
      <c r="Q31" s="151">
        <f t="shared" si="23"/>
        <v>105000</v>
      </c>
      <c r="R31" s="177">
        <v>144000</v>
      </c>
      <c r="S31" s="151">
        <f t="shared" si="22"/>
        <v>105000</v>
      </c>
      <c r="T31" s="185">
        <v>144000</v>
      </c>
      <c r="U31" s="185">
        <v>144000</v>
      </c>
      <c r="V31" s="169">
        <v>902</v>
      </c>
      <c r="W31" s="63"/>
      <c r="X31" s="111">
        <v>105000</v>
      </c>
      <c r="Y31" s="63"/>
      <c r="Z31" s="111">
        <v>105000</v>
      </c>
      <c r="AA31" s="63"/>
      <c r="AB31" s="111">
        <v>105000</v>
      </c>
    </row>
    <row r="32" spans="1:28" ht="24" x14ac:dyDescent="0.3">
      <c r="A32" s="171"/>
      <c r="B32" s="165" t="s">
        <v>28</v>
      </c>
      <c r="C32" s="16">
        <v>571.5</v>
      </c>
      <c r="D32" s="16"/>
      <c r="E32" s="25">
        <v>571519</v>
      </c>
      <c r="F32" s="116">
        <f t="shared" si="8"/>
        <v>571.51900000000001</v>
      </c>
      <c r="G32" s="116">
        <f t="shared" si="9"/>
        <v>1.9000000000005457E-2</v>
      </c>
      <c r="H32" s="114"/>
      <c r="I32" s="114">
        <v>271</v>
      </c>
      <c r="J32" s="114"/>
      <c r="K32" s="131">
        <v>0</v>
      </c>
      <c r="L32" s="151">
        <f t="shared" si="21"/>
        <v>455000</v>
      </c>
      <c r="M32" s="65">
        <f t="shared" si="14"/>
        <v>455000</v>
      </c>
      <c r="N32" s="65">
        <v>0</v>
      </c>
      <c r="O32" s="65"/>
      <c r="P32" s="65"/>
      <c r="Q32" s="151">
        <f t="shared" si="23"/>
        <v>455000</v>
      </c>
      <c r="R32" s="177">
        <v>387324</v>
      </c>
      <c r="S32" s="151">
        <f t="shared" si="22"/>
        <v>455000</v>
      </c>
      <c r="T32" s="185">
        <v>387324</v>
      </c>
      <c r="U32" s="185">
        <v>387324</v>
      </c>
      <c r="V32" s="169">
        <v>902</v>
      </c>
      <c r="W32" s="63"/>
      <c r="X32" s="111">
        <v>455000</v>
      </c>
      <c r="Y32" s="63"/>
      <c r="Z32" s="111">
        <v>455000</v>
      </c>
      <c r="AA32" s="63"/>
      <c r="AB32" s="111">
        <v>455000</v>
      </c>
    </row>
    <row r="33" spans="1:28" ht="24" x14ac:dyDescent="0.3">
      <c r="A33" s="171"/>
      <c r="B33" s="42" t="s">
        <v>157</v>
      </c>
      <c r="C33" s="56"/>
      <c r="D33" s="56"/>
      <c r="E33" s="57"/>
      <c r="F33" s="51"/>
      <c r="G33" s="51"/>
      <c r="H33" s="61"/>
      <c r="I33" s="61"/>
      <c r="J33" s="61"/>
      <c r="K33" s="184"/>
      <c r="L33" s="66"/>
      <c r="M33" s="66"/>
      <c r="N33" s="66"/>
      <c r="O33" s="66"/>
      <c r="P33" s="66"/>
      <c r="Q33" s="66"/>
      <c r="R33" s="73">
        <v>5000000</v>
      </c>
      <c r="S33" s="66"/>
      <c r="T33" s="186">
        <v>5000000</v>
      </c>
      <c r="U33" s="73"/>
      <c r="V33" s="169">
        <v>902</v>
      </c>
      <c r="W33" s="63"/>
      <c r="X33" s="111"/>
      <c r="Y33" s="63"/>
      <c r="Z33" s="111"/>
      <c r="AA33" s="63"/>
      <c r="AB33" s="111"/>
    </row>
    <row r="34" spans="1:28" ht="24" x14ac:dyDescent="0.3">
      <c r="A34" s="171"/>
      <c r="B34" s="42" t="s">
        <v>155</v>
      </c>
      <c r="C34" s="56"/>
      <c r="D34" s="56"/>
      <c r="E34" s="57"/>
      <c r="F34" s="51"/>
      <c r="G34" s="51"/>
      <c r="H34" s="61"/>
      <c r="I34" s="61"/>
      <c r="J34" s="61"/>
      <c r="K34" s="184"/>
      <c r="L34" s="66"/>
      <c r="M34" s="66"/>
      <c r="N34" s="66"/>
      <c r="O34" s="66"/>
      <c r="P34" s="66"/>
      <c r="Q34" s="66"/>
      <c r="R34" s="73">
        <v>5000000</v>
      </c>
      <c r="S34" s="66"/>
      <c r="T34" s="186">
        <v>5000000</v>
      </c>
      <c r="U34" s="73"/>
      <c r="V34" s="169">
        <v>902</v>
      </c>
      <c r="W34" s="63"/>
      <c r="X34" s="111"/>
      <c r="Y34" s="63"/>
      <c r="Z34" s="111"/>
      <c r="AA34" s="63"/>
      <c r="AB34" s="111"/>
    </row>
    <row r="35" spans="1:28" ht="24" x14ac:dyDescent="0.3">
      <c r="A35" s="171"/>
      <c r="B35" s="42" t="s">
        <v>156</v>
      </c>
      <c r="C35" s="56"/>
      <c r="D35" s="56"/>
      <c r="E35" s="57"/>
      <c r="F35" s="51"/>
      <c r="G35" s="51"/>
      <c r="H35" s="61"/>
      <c r="I35" s="61"/>
      <c r="J35" s="61"/>
      <c r="K35" s="184"/>
      <c r="L35" s="66"/>
      <c r="M35" s="66"/>
      <c r="N35" s="66"/>
      <c r="O35" s="66"/>
      <c r="P35" s="66"/>
      <c r="Q35" s="66"/>
      <c r="R35" s="73">
        <v>600000</v>
      </c>
      <c r="S35" s="66"/>
      <c r="T35" s="73">
        <v>600000</v>
      </c>
      <c r="U35" s="73">
        <v>600000</v>
      </c>
      <c r="V35" s="169">
        <v>902</v>
      </c>
      <c r="W35" s="63"/>
      <c r="X35" s="111"/>
      <c r="Y35" s="63"/>
      <c r="Z35" s="111"/>
      <c r="AA35" s="63"/>
      <c r="AB35" s="111"/>
    </row>
    <row r="36" spans="1:28" ht="24" x14ac:dyDescent="0.3">
      <c r="A36" s="171"/>
      <c r="B36" s="42" t="s">
        <v>153</v>
      </c>
      <c r="C36" s="56"/>
      <c r="D36" s="56"/>
      <c r="E36" s="57"/>
      <c r="F36" s="51"/>
      <c r="G36" s="51"/>
      <c r="H36" s="61"/>
      <c r="I36" s="61"/>
      <c r="J36" s="61"/>
      <c r="K36" s="184"/>
      <c r="L36" s="66"/>
      <c r="M36" s="66"/>
      <c r="N36" s="66"/>
      <c r="O36" s="66"/>
      <c r="P36" s="66"/>
      <c r="Q36" s="66"/>
      <c r="R36" s="73"/>
      <c r="S36" s="66"/>
      <c r="T36" s="73"/>
      <c r="U36" s="186">
        <v>1814718</v>
      </c>
      <c r="V36" s="176">
        <v>904</v>
      </c>
      <c r="W36" s="63"/>
      <c r="X36" s="111"/>
      <c r="Y36" s="63"/>
      <c r="Z36" s="111"/>
      <c r="AA36" s="63"/>
      <c r="AB36" s="111"/>
    </row>
    <row r="37" spans="1:28" ht="37.5" customHeight="1" x14ac:dyDescent="0.3">
      <c r="A37" s="171"/>
      <c r="B37" s="165" t="s">
        <v>152</v>
      </c>
      <c r="C37" s="16"/>
      <c r="D37" s="16"/>
      <c r="E37" s="25"/>
      <c r="F37" s="116">
        <f t="shared" si="8"/>
        <v>0</v>
      </c>
      <c r="G37" s="116">
        <f t="shared" si="9"/>
        <v>0</v>
      </c>
      <c r="H37" s="114"/>
      <c r="I37" s="114"/>
      <c r="J37" s="114"/>
      <c r="K37" s="131"/>
      <c r="L37" s="151">
        <f t="shared" si="21"/>
        <v>16427.64</v>
      </c>
      <c r="M37" s="65">
        <f t="shared" si="14"/>
        <v>16427.64</v>
      </c>
      <c r="N37" s="65">
        <v>0</v>
      </c>
      <c r="O37" s="65"/>
      <c r="P37" s="65"/>
      <c r="Q37" s="151">
        <f t="shared" si="23"/>
        <v>0</v>
      </c>
      <c r="R37" s="177">
        <v>18064</v>
      </c>
      <c r="S37" s="151">
        <f t="shared" si="22"/>
        <v>0</v>
      </c>
      <c r="T37" s="185">
        <v>18064</v>
      </c>
      <c r="U37" s="151"/>
      <c r="V37" s="169">
        <v>907</v>
      </c>
      <c r="W37" s="63"/>
      <c r="X37" s="105">
        <v>16427.64</v>
      </c>
      <c r="Y37" s="63"/>
      <c r="Z37" s="105"/>
      <c r="AA37" s="63"/>
      <c r="AB37" s="105"/>
    </row>
    <row r="38" spans="1:28" ht="24" x14ac:dyDescent="0.3">
      <c r="A38" s="171"/>
      <c r="B38" s="165" t="s">
        <v>32</v>
      </c>
      <c r="C38" s="16"/>
      <c r="D38" s="16"/>
      <c r="E38" s="25"/>
      <c r="F38" s="116">
        <f t="shared" si="8"/>
        <v>0</v>
      </c>
      <c r="G38" s="116">
        <f t="shared" si="9"/>
        <v>0</v>
      </c>
      <c r="H38" s="114"/>
      <c r="I38" s="114"/>
      <c r="J38" s="114"/>
      <c r="K38" s="131"/>
      <c r="L38" s="151">
        <f t="shared" si="21"/>
        <v>0</v>
      </c>
      <c r="M38" s="65">
        <f t="shared" si="14"/>
        <v>0</v>
      </c>
      <c r="N38" s="65">
        <v>0</v>
      </c>
      <c r="O38" s="65"/>
      <c r="P38" s="65"/>
      <c r="Q38" s="151">
        <f t="shared" si="23"/>
        <v>0</v>
      </c>
      <c r="R38" s="151"/>
      <c r="S38" s="151">
        <f t="shared" si="22"/>
        <v>0</v>
      </c>
      <c r="T38" s="151"/>
      <c r="U38" s="151"/>
      <c r="V38" s="169"/>
      <c r="W38" s="63"/>
      <c r="X38" s="105"/>
      <c r="Y38" s="63"/>
      <c r="Z38" s="105"/>
      <c r="AA38" s="63"/>
      <c r="AB38" s="105"/>
    </row>
    <row r="39" spans="1:28" ht="24" x14ac:dyDescent="0.3">
      <c r="A39" s="171"/>
      <c r="B39" s="165" t="s">
        <v>33</v>
      </c>
      <c r="C39" s="16"/>
      <c r="D39" s="16"/>
      <c r="E39" s="25"/>
      <c r="F39" s="116">
        <f t="shared" si="8"/>
        <v>0</v>
      </c>
      <c r="G39" s="116">
        <f t="shared" si="9"/>
        <v>0</v>
      </c>
      <c r="H39" s="114"/>
      <c r="I39" s="114"/>
      <c r="J39" s="114"/>
      <c r="K39" s="131"/>
      <c r="L39" s="151">
        <f t="shared" si="21"/>
        <v>0</v>
      </c>
      <c r="M39" s="65">
        <f t="shared" si="14"/>
        <v>0</v>
      </c>
      <c r="N39" s="65">
        <v>0</v>
      </c>
      <c r="O39" s="65"/>
      <c r="P39" s="65"/>
      <c r="Q39" s="151">
        <f t="shared" si="23"/>
        <v>0</v>
      </c>
      <c r="R39" s="151"/>
      <c r="S39" s="151">
        <f t="shared" si="22"/>
        <v>0</v>
      </c>
      <c r="T39" s="151"/>
      <c r="U39" s="151"/>
      <c r="V39" s="169"/>
      <c r="W39" s="63"/>
      <c r="X39" s="105"/>
      <c r="Y39" s="63"/>
      <c r="Z39" s="105"/>
      <c r="AA39" s="63"/>
      <c r="AB39" s="105"/>
    </row>
    <row r="40" spans="1:28" ht="24" x14ac:dyDescent="0.3">
      <c r="A40" s="171"/>
      <c r="B40" s="165" t="s">
        <v>50</v>
      </c>
      <c r="C40" s="16">
        <v>79</v>
      </c>
      <c r="D40" s="16"/>
      <c r="E40" s="25">
        <v>79000</v>
      </c>
      <c r="F40" s="116"/>
      <c r="G40" s="116"/>
      <c r="H40" s="114"/>
      <c r="I40" s="114"/>
      <c r="J40" s="114"/>
      <c r="K40" s="131"/>
      <c r="L40" s="151">
        <f t="shared" si="21"/>
        <v>0</v>
      </c>
      <c r="M40" s="65">
        <f t="shared" si="14"/>
        <v>0</v>
      </c>
      <c r="N40" s="65">
        <v>0</v>
      </c>
      <c r="O40" s="65"/>
      <c r="P40" s="65"/>
      <c r="Q40" s="151">
        <f t="shared" si="23"/>
        <v>0</v>
      </c>
      <c r="R40" s="151"/>
      <c r="S40" s="151">
        <f t="shared" si="22"/>
        <v>0</v>
      </c>
      <c r="T40" s="151"/>
      <c r="U40" s="151"/>
      <c r="V40" s="169"/>
      <c r="W40" s="63"/>
      <c r="X40" s="105"/>
      <c r="Y40" s="63"/>
      <c r="Z40" s="105"/>
      <c r="AA40" s="63"/>
      <c r="AB40" s="105"/>
    </row>
    <row r="41" spans="1:28" ht="16.95" customHeight="1" x14ac:dyDescent="0.3">
      <c r="A41" s="171" t="s">
        <v>43</v>
      </c>
      <c r="B41" s="165" t="s">
        <v>3</v>
      </c>
      <c r="C41" s="140">
        <f>C42+C54+C55+C56+C57</f>
        <v>726424</v>
      </c>
      <c r="D41" s="140">
        <f>D42+D54+D55+D56+D57</f>
        <v>0</v>
      </c>
      <c r="E41" s="140">
        <f>E42+E54+E55+E56+E57</f>
        <v>726423994</v>
      </c>
      <c r="F41" s="140">
        <f>F42+F54+F55+F56+F57</f>
        <v>726423.99399999995</v>
      </c>
      <c r="G41" s="140">
        <f>G42+G54+G55+G56+G57</f>
        <v>-6.0000000003128662E-3</v>
      </c>
      <c r="H41" s="140">
        <f t="shared" ref="H41:N41" si="24">H42+H54+H55+H56+H57+H58</f>
        <v>608092</v>
      </c>
      <c r="I41" s="140">
        <f t="shared" si="24"/>
        <v>774941</v>
      </c>
      <c r="J41" s="140">
        <f t="shared" si="24"/>
        <v>696541</v>
      </c>
      <c r="K41" s="141">
        <f t="shared" si="24"/>
        <v>545714</v>
      </c>
      <c r="L41" s="138">
        <f t="shared" si="24"/>
        <v>813453800</v>
      </c>
      <c r="M41" s="138">
        <f t="shared" si="24"/>
        <v>812908086</v>
      </c>
      <c r="N41" s="138">
        <f t="shared" si="24"/>
        <v>417933</v>
      </c>
      <c r="O41" s="138"/>
      <c r="P41" s="138"/>
      <c r="Q41" s="138">
        <f>Q42+Q54+Q55+Q56+Q57+Q58</f>
        <v>853866400</v>
      </c>
      <c r="R41" s="138">
        <f>R42+R54+R55+R56+R57+R58</f>
        <v>966904000</v>
      </c>
      <c r="S41" s="138">
        <f t="shared" ref="S41:U41" si="25">S42+S54+S55+S56+S57+S58</f>
        <v>831231000</v>
      </c>
      <c r="T41" s="138">
        <f t="shared" si="25"/>
        <v>1018980000</v>
      </c>
      <c r="U41" s="138">
        <f t="shared" si="25"/>
        <v>1104489000</v>
      </c>
      <c r="V41" s="169"/>
      <c r="W41" s="112">
        <f t="shared" ref="W41:AB41" si="26">W42+W54+W55+W56+W57+W58</f>
        <v>3473800</v>
      </c>
      <c r="X41" s="112">
        <f t="shared" si="26"/>
        <v>809980000</v>
      </c>
      <c r="Y41" s="178">
        <f t="shared" si="26"/>
        <v>5078400</v>
      </c>
      <c r="Z41" s="112">
        <f t="shared" si="26"/>
        <v>848788000</v>
      </c>
      <c r="AA41" s="178">
        <f t="shared" si="26"/>
        <v>5342000</v>
      </c>
      <c r="AB41" s="112">
        <f t="shared" si="26"/>
        <v>825889000</v>
      </c>
    </row>
    <row r="42" spans="1:28" ht="24.6" customHeight="1" x14ac:dyDescent="0.3">
      <c r="A42" s="171" t="s">
        <v>44</v>
      </c>
      <c r="B42" s="165" t="s">
        <v>4</v>
      </c>
      <c r="C42" s="140">
        <f>SUM(C43:C53)</f>
        <v>691386</v>
      </c>
      <c r="D42" s="140">
        <f>SUM(D43:D53)</f>
        <v>0</v>
      </c>
      <c r="E42" s="143">
        <f>SUM(E43:E53)</f>
        <v>691386000</v>
      </c>
      <c r="F42" s="116">
        <f t="shared" si="8"/>
        <v>691386</v>
      </c>
      <c r="G42" s="116">
        <f>F42-C42</f>
        <v>0</v>
      </c>
      <c r="H42" s="140">
        <f t="shared" ref="H42:Q42" si="27">SUM(H43:H53)</f>
        <v>576319</v>
      </c>
      <c r="I42" s="140">
        <f t="shared" si="27"/>
        <v>739626</v>
      </c>
      <c r="J42" s="140">
        <f t="shared" si="27"/>
        <v>662922</v>
      </c>
      <c r="K42" s="141">
        <f t="shared" si="27"/>
        <v>510529</v>
      </c>
      <c r="L42" s="138">
        <f t="shared" si="27"/>
        <v>766653000</v>
      </c>
      <c r="M42" s="181">
        <f t="shared" si="27"/>
        <v>766142471</v>
      </c>
      <c r="N42" s="181">
        <f t="shared" si="27"/>
        <v>383394</v>
      </c>
      <c r="O42" s="181"/>
      <c r="P42" s="181"/>
      <c r="Q42" s="138">
        <f t="shared" si="27"/>
        <v>800982000</v>
      </c>
      <c r="R42" s="138">
        <f>SUM(R43:R53)</f>
        <v>919004000</v>
      </c>
      <c r="S42" s="138">
        <f t="shared" ref="S42:U42" si="28">SUM(S43:S53)</f>
        <v>777348000</v>
      </c>
      <c r="T42" s="138">
        <f t="shared" si="28"/>
        <v>936559000</v>
      </c>
      <c r="U42" s="138">
        <f t="shared" si="28"/>
        <v>1021364000</v>
      </c>
      <c r="V42" s="170"/>
      <c r="W42" s="178">
        <f t="shared" ref="W42:AB42" si="29">SUM(W43:W53)</f>
        <v>0</v>
      </c>
      <c r="X42" s="112">
        <f t="shared" si="29"/>
        <v>766653000</v>
      </c>
      <c r="Y42" s="178">
        <f t="shared" si="29"/>
        <v>0</v>
      </c>
      <c r="Z42" s="112">
        <f t="shared" si="29"/>
        <v>800982000</v>
      </c>
      <c r="AA42" s="178">
        <f t="shared" si="29"/>
        <v>0</v>
      </c>
      <c r="AB42" s="112">
        <f t="shared" si="29"/>
        <v>777348000</v>
      </c>
    </row>
    <row r="43" spans="1:28" ht="50.4" customHeight="1" x14ac:dyDescent="0.3">
      <c r="A43" s="171"/>
      <c r="B43" s="165" t="s">
        <v>5</v>
      </c>
      <c r="C43" s="122">
        <v>386036</v>
      </c>
      <c r="D43" s="123"/>
      <c r="E43" s="124">
        <v>386036000</v>
      </c>
      <c r="F43" s="116">
        <f t="shared" si="8"/>
        <v>386036</v>
      </c>
      <c r="G43" s="116">
        <f t="shared" si="9"/>
        <v>0</v>
      </c>
      <c r="H43" s="114">
        <v>334797</v>
      </c>
      <c r="I43" s="114">
        <v>430728</v>
      </c>
      <c r="J43" s="114">
        <v>385292</v>
      </c>
      <c r="K43" s="131">
        <v>300084</v>
      </c>
      <c r="L43" s="151">
        <f t="shared" ref="L43:L61" si="30">W43+X43</f>
        <v>427215000</v>
      </c>
      <c r="M43" s="65">
        <f t="shared" ref="M43:M61" si="31">L43-K43</f>
        <v>426914916</v>
      </c>
      <c r="N43" s="65">
        <v>224097</v>
      </c>
      <c r="O43" s="65"/>
      <c r="P43" s="65"/>
      <c r="Q43" s="151">
        <f t="shared" ref="Q43:Q61" si="32">Y43+Z43</f>
        <v>449375000</v>
      </c>
      <c r="R43" s="185">
        <v>536533000</v>
      </c>
      <c r="S43" s="151">
        <f>AA43+AB43</f>
        <v>410769000</v>
      </c>
      <c r="T43" s="185">
        <v>536543000</v>
      </c>
      <c r="U43" s="185">
        <v>591491000</v>
      </c>
      <c r="V43" s="169">
        <v>906</v>
      </c>
      <c r="W43" s="63"/>
      <c r="X43" s="153">
        <v>427215000</v>
      </c>
      <c r="Y43" s="63"/>
      <c r="Z43" s="111">
        <v>449375000</v>
      </c>
      <c r="AA43" s="63"/>
      <c r="AB43" s="111">
        <v>410769000</v>
      </c>
    </row>
    <row r="44" spans="1:28" ht="28.2" customHeight="1" x14ac:dyDescent="0.3">
      <c r="A44" s="171"/>
      <c r="B44" s="165" t="s">
        <v>6</v>
      </c>
      <c r="C44" s="122">
        <v>295813</v>
      </c>
      <c r="D44" s="123"/>
      <c r="E44" s="124">
        <v>295813000</v>
      </c>
      <c r="F44" s="116">
        <f t="shared" si="8"/>
        <v>295813</v>
      </c>
      <c r="G44" s="116">
        <f t="shared" si="9"/>
        <v>0</v>
      </c>
      <c r="H44" s="114">
        <v>231806</v>
      </c>
      <c r="I44" s="114">
        <v>299172</v>
      </c>
      <c r="J44" s="114">
        <v>267660</v>
      </c>
      <c r="K44" s="131">
        <v>199795</v>
      </c>
      <c r="L44" s="151">
        <f t="shared" si="30"/>
        <v>326317000</v>
      </c>
      <c r="M44" s="65">
        <f t="shared" si="31"/>
        <v>326117205</v>
      </c>
      <c r="N44" s="65">
        <v>148579</v>
      </c>
      <c r="O44" s="65"/>
      <c r="P44" s="65"/>
      <c r="Q44" s="151">
        <f t="shared" si="32"/>
        <v>339524000</v>
      </c>
      <c r="R44" s="185">
        <v>362453000</v>
      </c>
      <c r="S44" s="151">
        <f t="shared" ref="S44:S63" si="33">AA44+AB44</f>
        <v>354418000</v>
      </c>
      <c r="T44" s="185">
        <v>379629000</v>
      </c>
      <c r="U44" s="185">
        <v>409103000</v>
      </c>
      <c r="V44" s="169">
        <v>906</v>
      </c>
      <c r="W44" s="63"/>
      <c r="X44" s="153">
        <v>326317000</v>
      </c>
      <c r="Y44" s="63"/>
      <c r="Z44" s="111">
        <v>339524000</v>
      </c>
      <c r="AA44" s="63"/>
      <c r="AB44" s="111">
        <v>354418000</v>
      </c>
    </row>
    <row r="45" spans="1:28" ht="25.2" customHeight="1" x14ac:dyDescent="0.3">
      <c r="A45" s="171"/>
      <c r="B45" s="165" t="s">
        <v>7</v>
      </c>
      <c r="C45" s="122">
        <v>6199</v>
      </c>
      <c r="D45" s="123"/>
      <c r="E45" s="124">
        <v>6199000</v>
      </c>
      <c r="F45" s="116">
        <f t="shared" si="8"/>
        <v>6199</v>
      </c>
      <c r="G45" s="116">
        <f t="shared" si="9"/>
        <v>0</v>
      </c>
      <c r="H45" s="114">
        <v>6291</v>
      </c>
      <c r="I45" s="114">
        <v>6291</v>
      </c>
      <c r="J45" s="114">
        <v>6463</v>
      </c>
      <c r="K45" s="131">
        <v>5889</v>
      </c>
      <c r="L45" s="151">
        <f t="shared" si="30"/>
        <v>6515000</v>
      </c>
      <c r="M45" s="65">
        <f t="shared" si="31"/>
        <v>6509111</v>
      </c>
      <c r="N45" s="65">
        <v>5889</v>
      </c>
      <c r="O45" s="65"/>
      <c r="P45" s="65"/>
      <c r="Q45" s="151">
        <f t="shared" si="32"/>
        <v>6515000</v>
      </c>
      <c r="R45" s="185">
        <v>7478000</v>
      </c>
      <c r="S45" s="151">
        <f t="shared" si="33"/>
        <v>6515000</v>
      </c>
      <c r="T45" s="185">
        <v>7478000</v>
      </c>
      <c r="U45" s="185">
        <v>7478000</v>
      </c>
      <c r="V45" s="169">
        <v>906</v>
      </c>
      <c r="W45" s="63"/>
      <c r="X45" s="111">
        <v>6515000</v>
      </c>
      <c r="Y45" s="63"/>
      <c r="Z45" s="111">
        <v>6515000</v>
      </c>
      <c r="AA45" s="63"/>
      <c r="AB45" s="111">
        <v>6515000</v>
      </c>
    </row>
    <row r="46" spans="1:28" ht="34.5" customHeight="1" x14ac:dyDescent="0.3">
      <c r="A46" s="171"/>
      <c r="B46" s="165" t="s">
        <v>8</v>
      </c>
      <c r="C46" s="122">
        <v>2</v>
      </c>
      <c r="D46" s="123"/>
      <c r="E46" s="124">
        <v>2000</v>
      </c>
      <c r="F46" s="116">
        <f t="shared" si="8"/>
        <v>2</v>
      </c>
      <c r="G46" s="116">
        <f t="shared" si="9"/>
        <v>0</v>
      </c>
      <c r="H46" s="114">
        <v>2</v>
      </c>
      <c r="I46" s="114">
        <v>2</v>
      </c>
      <c r="J46" s="114">
        <v>2</v>
      </c>
      <c r="K46" s="131">
        <v>2</v>
      </c>
      <c r="L46" s="151">
        <f t="shared" si="30"/>
        <v>2000</v>
      </c>
      <c r="M46" s="65">
        <f t="shared" si="31"/>
        <v>1998</v>
      </c>
      <c r="N46" s="65">
        <v>2</v>
      </c>
      <c r="O46" s="65"/>
      <c r="P46" s="65"/>
      <c r="Q46" s="151">
        <f t="shared" si="32"/>
        <v>2000</v>
      </c>
      <c r="R46" s="185">
        <v>2000</v>
      </c>
      <c r="S46" s="151">
        <f t="shared" si="33"/>
        <v>2000</v>
      </c>
      <c r="T46" s="185">
        <v>2000</v>
      </c>
      <c r="U46" s="185">
        <v>2000</v>
      </c>
      <c r="V46" s="169">
        <v>902</v>
      </c>
      <c r="W46" s="63"/>
      <c r="X46" s="111">
        <v>2000</v>
      </c>
      <c r="Y46" s="63"/>
      <c r="Z46" s="111">
        <v>2000</v>
      </c>
      <c r="AA46" s="63"/>
      <c r="AB46" s="111">
        <v>2000</v>
      </c>
    </row>
    <row r="47" spans="1:28" ht="27.6" customHeight="1" x14ac:dyDescent="0.3">
      <c r="A47" s="171"/>
      <c r="B47" s="165" t="s">
        <v>9</v>
      </c>
      <c r="C47" s="122">
        <v>558</v>
      </c>
      <c r="D47" s="123"/>
      <c r="E47" s="124">
        <v>558000</v>
      </c>
      <c r="F47" s="116">
        <f t="shared" si="8"/>
        <v>558</v>
      </c>
      <c r="G47" s="116">
        <f t="shared" si="9"/>
        <v>0</v>
      </c>
      <c r="H47" s="114">
        <v>558</v>
      </c>
      <c r="I47" s="114">
        <v>558</v>
      </c>
      <c r="J47" s="114">
        <v>579</v>
      </c>
      <c r="K47" s="131">
        <v>570</v>
      </c>
      <c r="L47" s="151">
        <f t="shared" si="30"/>
        <v>641000</v>
      </c>
      <c r="M47" s="65">
        <f t="shared" si="31"/>
        <v>640430</v>
      </c>
      <c r="N47" s="65">
        <v>570</v>
      </c>
      <c r="O47" s="65"/>
      <c r="P47" s="65"/>
      <c r="Q47" s="151">
        <f t="shared" si="32"/>
        <v>641000</v>
      </c>
      <c r="R47" s="185">
        <v>754000</v>
      </c>
      <c r="S47" s="151">
        <f t="shared" si="33"/>
        <v>641000</v>
      </c>
      <c r="T47" s="185">
        <v>754000</v>
      </c>
      <c r="U47" s="185">
        <v>754000</v>
      </c>
      <c r="V47" s="169">
        <v>902</v>
      </c>
      <c r="W47" s="63"/>
      <c r="X47" s="111">
        <v>641000</v>
      </c>
      <c r="Y47" s="63"/>
      <c r="Z47" s="111">
        <v>641000</v>
      </c>
      <c r="AA47" s="111"/>
      <c r="AB47" s="111">
        <v>641000</v>
      </c>
    </row>
    <row r="48" spans="1:28" ht="48" customHeight="1" x14ac:dyDescent="0.3">
      <c r="A48" s="171"/>
      <c r="B48" s="42" t="s">
        <v>143</v>
      </c>
      <c r="C48" s="122"/>
      <c r="D48" s="123"/>
      <c r="E48" s="124"/>
      <c r="F48" s="116"/>
      <c r="G48" s="116"/>
      <c r="H48" s="114"/>
      <c r="I48" s="114"/>
      <c r="J48" s="114"/>
      <c r="K48" s="131"/>
      <c r="L48" s="151"/>
      <c r="M48" s="65"/>
      <c r="N48" s="65"/>
      <c r="O48" s="65"/>
      <c r="P48" s="65"/>
      <c r="Q48" s="151"/>
      <c r="R48" s="185">
        <v>37000</v>
      </c>
      <c r="S48" s="151"/>
      <c r="T48" s="185">
        <v>37000</v>
      </c>
      <c r="U48" s="185">
        <v>37000</v>
      </c>
      <c r="V48" s="176">
        <v>905</v>
      </c>
      <c r="W48" s="63"/>
      <c r="X48" s="111"/>
      <c r="Y48" s="63"/>
      <c r="Z48" s="111"/>
      <c r="AA48" s="111"/>
      <c r="AB48" s="111"/>
    </row>
    <row r="49" spans="1:28" ht="27.6" customHeight="1" x14ac:dyDescent="0.3">
      <c r="A49" s="171"/>
      <c r="B49" s="52" t="s">
        <v>142</v>
      </c>
      <c r="C49" s="122"/>
      <c r="D49" s="123"/>
      <c r="E49" s="124"/>
      <c r="F49" s="116"/>
      <c r="G49" s="116"/>
      <c r="H49" s="114"/>
      <c r="I49" s="114"/>
      <c r="J49" s="114"/>
      <c r="K49" s="131"/>
      <c r="L49" s="151"/>
      <c r="M49" s="65"/>
      <c r="N49" s="65"/>
      <c r="O49" s="65"/>
      <c r="P49" s="65"/>
      <c r="Q49" s="151"/>
      <c r="R49" s="185">
        <v>1477000</v>
      </c>
      <c r="S49" s="151"/>
      <c r="T49" s="185">
        <v>1495000</v>
      </c>
      <c r="U49" s="185">
        <v>1495000</v>
      </c>
      <c r="V49" s="176">
        <v>902</v>
      </c>
      <c r="W49" s="63"/>
      <c r="X49" s="111"/>
      <c r="Y49" s="63"/>
      <c r="Z49" s="111"/>
      <c r="AA49" s="111"/>
      <c r="AB49" s="111"/>
    </row>
    <row r="50" spans="1:28" ht="24" customHeight="1" x14ac:dyDescent="0.3">
      <c r="A50" s="171"/>
      <c r="B50" s="165" t="s">
        <v>10</v>
      </c>
      <c r="C50" s="122">
        <v>1032</v>
      </c>
      <c r="D50" s="123"/>
      <c r="E50" s="124">
        <v>1032000</v>
      </c>
      <c r="F50" s="116">
        <f t="shared" si="8"/>
        <v>1032</v>
      </c>
      <c r="G50" s="116">
        <f t="shared" si="9"/>
        <v>0</v>
      </c>
      <c r="H50" s="114">
        <v>1037</v>
      </c>
      <c r="I50" s="114">
        <v>1037</v>
      </c>
      <c r="J50" s="114">
        <v>1076</v>
      </c>
      <c r="K50" s="131">
        <v>1054</v>
      </c>
      <c r="L50" s="151">
        <f t="shared" si="30"/>
        <v>1186000</v>
      </c>
      <c r="M50" s="65">
        <f t="shared" si="31"/>
        <v>1184946</v>
      </c>
      <c r="N50" s="65">
        <v>1054</v>
      </c>
      <c r="O50" s="65"/>
      <c r="P50" s="65"/>
      <c r="Q50" s="151">
        <f t="shared" si="32"/>
        <v>1186000</v>
      </c>
      <c r="R50" s="151"/>
      <c r="S50" s="151">
        <f t="shared" si="33"/>
        <v>1186000</v>
      </c>
      <c r="T50" s="151"/>
      <c r="U50" s="151"/>
      <c r="V50" s="169">
        <v>902</v>
      </c>
      <c r="W50" s="63"/>
      <c r="X50" s="111">
        <v>1186000</v>
      </c>
      <c r="Y50" s="63"/>
      <c r="Z50" s="111">
        <v>1186000</v>
      </c>
      <c r="AA50" s="63"/>
      <c r="AB50" s="111">
        <v>1186000</v>
      </c>
    </row>
    <row r="51" spans="1:28" ht="34.5" customHeight="1" x14ac:dyDescent="0.3">
      <c r="A51" s="171"/>
      <c r="B51" s="165" t="s">
        <v>11</v>
      </c>
      <c r="C51" s="122">
        <v>542</v>
      </c>
      <c r="D51" s="123"/>
      <c r="E51" s="124">
        <v>542000</v>
      </c>
      <c r="F51" s="116">
        <f t="shared" si="8"/>
        <v>542</v>
      </c>
      <c r="G51" s="116">
        <f t="shared" si="9"/>
        <v>0</v>
      </c>
      <c r="H51" s="114">
        <v>542</v>
      </c>
      <c r="I51" s="114">
        <v>542</v>
      </c>
      <c r="J51" s="114">
        <v>564</v>
      </c>
      <c r="K51" s="131">
        <v>554</v>
      </c>
      <c r="L51" s="151">
        <f t="shared" si="30"/>
        <v>623000</v>
      </c>
      <c r="M51" s="65">
        <f t="shared" si="31"/>
        <v>622446</v>
      </c>
      <c r="N51" s="65">
        <v>554</v>
      </c>
      <c r="O51" s="65"/>
      <c r="P51" s="65"/>
      <c r="Q51" s="151">
        <f t="shared" si="32"/>
        <v>623000</v>
      </c>
      <c r="R51" s="185">
        <v>733000</v>
      </c>
      <c r="S51" s="151">
        <f t="shared" si="33"/>
        <v>623000</v>
      </c>
      <c r="T51" s="185">
        <v>733000</v>
      </c>
      <c r="U51" s="185">
        <v>733000</v>
      </c>
      <c r="V51" s="169">
        <v>902</v>
      </c>
      <c r="W51" s="63"/>
      <c r="X51" s="111">
        <v>623000</v>
      </c>
      <c r="Y51" s="63"/>
      <c r="Z51" s="111">
        <v>623000</v>
      </c>
      <c r="AA51" s="63"/>
      <c r="AB51" s="111">
        <v>623000</v>
      </c>
    </row>
    <row r="52" spans="1:28" ht="42" customHeight="1" x14ac:dyDescent="0.3">
      <c r="A52" s="171"/>
      <c r="B52" s="165" t="s">
        <v>12</v>
      </c>
      <c r="C52" s="122">
        <v>762</v>
      </c>
      <c r="D52" s="123"/>
      <c r="E52" s="124">
        <v>762000</v>
      </c>
      <c r="F52" s="116">
        <f t="shared" si="8"/>
        <v>762</v>
      </c>
      <c r="G52" s="116">
        <f t="shared" si="9"/>
        <v>0</v>
      </c>
      <c r="H52" s="114">
        <v>778</v>
      </c>
      <c r="I52" s="114">
        <v>778</v>
      </c>
      <c r="J52" s="114">
        <v>778</v>
      </c>
      <c r="K52" s="131">
        <v>795</v>
      </c>
      <c r="L52" s="151">
        <f t="shared" si="30"/>
        <v>1160000</v>
      </c>
      <c r="M52" s="65">
        <f t="shared" si="31"/>
        <v>1159205</v>
      </c>
      <c r="N52" s="65">
        <v>795</v>
      </c>
      <c r="O52" s="65"/>
      <c r="P52" s="65"/>
      <c r="Q52" s="151">
        <f t="shared" si="32"/>
        <v>1160000</v>
      </c>
      <c r="R52" s="185">
        <v>1373000</v>
      </c>
      <c r="S52" s="151">
        <f t="shared" si="33"/>
        <v>1160000</v>
      </c>
      <c r="T52" s="185">
        <v>1373000</v>
      </c>
      <c r="U52" s="185">
        <v>1373000</v>
      </c>
      <c r="V52" s="169">
        <v>905</v>
      </c>
      <c r="W52" s="63"/>
      <c r="X52" s="111">
        <v>1160000</v>
      </c>
      <c r="Y52" s="63"/>
      <c r="Z52" s="111">
        <v>1160000</v>
      </c>
      <c r="AA52" s="63"/>
      <c r="AB52" s="111">
        <v>1160000</v>
      </c>
    </row>
    <row r="53" spans="1:28" ht="27.6" customHeight="1" x14ac:dyDescent="0.3">
      <c r="A53" s="171" t="s">
        <v>136</v>
      </c>
      <c r="B53" s="165" t="s">
        <v>124</v>
      </c>
      <c r="C53" s="122">
        <v>442</v>
      </c>
      <c r="D53" s="123"/>
      <c r="E53" s="124">
        <v>442000</v>
      </c>
      <c r="F53" s="116">
        <f t="shared" si="8"/>
        <v>442</v>
      </c>
      <c r="G53" s="116">
        <f t="shared" si="9"/>
        <v>0</v>
      </c>
      <c r="H53" s="114">
        <v>508</v>
      </c>
      <c r="I53" s="114">
        <v>518</v>
      </c>
      <c r="J53" s="114">
        <v>508</v>
      </c>
      <c r="K53" s="131">
        <v>1786</v>
      </c>
      <c r="L53" s="151">
        <f t="shared" si="30"/>
        <v>2994000</v>
      </c>
      <c r="M53" s="65">
        <f t="shared" si="31"/>
        <v>2992214</v>
      </c>
      <c r="N53" s="65">
        <v>1854</v>
      </c>
      <c r="O53" s="65"/>
      <c r="P53" s="65"/>
      <c r="Q53" s="151">
        <f t="shared" si="32"/>
        <v>1956000</v>
      </c>
      <c r="R53" s="185">
        <v>8164000</v>
      </c>
      <c r="S53" s="151">
        <f t="shared" si="33"/>
        <v>2034000</v>
      </c>
      <c r="T53" s="185">
        <v>8515000</v>
      </c>
      <c r="U53" s="185">
        <v>8898000</v>
      </c>
      <c r="V53" s="169">
        <v>905</v>
      </c>
      <c r="W53" s="63"/>
      <c r="X53" s="153">
        <f>1883000+105000+1006000</f>
        <v>2994000</v>
      </c>
      <c r="Y53" s="63"/>
      <c r="Z53" s="153">
        <v>1956000</v>
      </c>
      <c r="AA53" s="63"/>
      <c r="AB53" s="153">
        <v>2034000</v>
      </c>
    </row>
    <row r="54" spans="1:28" ht="31.95" customHeight="1" x14ac:dyDescent="0.3">
      <c r="A54" s="171" t="s">
        <v>45</v>
      </c>
      <c r="B54" s="165" t="s">
        <v>13</v>
      </c>
      <c r="C54" s="122">
        <v>25623</v>
      </c>
      <c r="D54" s="123"/>
      <c r="E54" s="124">
        <v>25623000</v>
      </c>
      <c r="F54" s="116">
        <f t="shared" si="8"/>
        <v>25623</v>
      </c>
      <c r="G54" s="116">
        <f t="shared" si="9"/>
        <v>0</v>
      </c>
      <c r="H54" s="114">
        <v>24886</v>
      </c>
      <c r="I54" s="114">
        <v>24886</v>
      </c>
      <c r="J54" s="114">
        <v>25882</v>
      </c>
      <c r="K54" s="131">
        <v>27714</v>
      </c>
      <c r="L54" s="151">
        <f t="shared" si="30"/>
        <v>28143000</v>
      </c>
      <c r="M54" s="65">
        <f t="shared" si="31"/>
        <v>28115286</v>
      </c>
      <c r="N54" s="65">
        <v>27714</v>
      </c>
      <c r="O54" s="65"/>
      <c r="P54" s="65"/>
      <c r="Q54" s="151">
        <f t="shared" si="32"/>
        <v>28143000</v>
      </c>
      <c r="R54" s="185">
        <v>31556000</v>
      </c>
      <c r="S54" s="151">
        <f t="shared" si="33"/>
        <v>28143000</v>
      </c>
      <c r="T54" s="185">
        <v>31556000</v>
      </c>
      <c r="U54" s="185">
        <v>31556000</v>
      </c>
      <c r="V54" s="169">
        <v>906</v>
      </c>
      <c r="W54" s="63"/>
      <c r="X54" s="105">
        <v>28143000</v>
      </c>
      <c r="Y54" s="63"/>
      <c r="Z54" s="105">
        <v>28143000</v>
      </c>
      <c r="AA54" s="63"/>
      <c r="AB54" s="105">
        <v>28143000</v>
      </c>
    </row>
    <row r="55" spans="1:28" ht="36.6" customHeight="1" x14ac:dyDescent="0.3">
      <c r="A55" s="171" t="s">
        <v>46</v>
      </c>
      <c r="B55" s="165" t="s">
        <v>14</v>
      </c>
      <c r="C55" s="122">
        <v>3449</v>
      </c>
      <c r="D55" s="123"/>
      <c r="E55" s="124">
        <v>3449000</v>
      </c>
      <c r="F55" s="116">
        <f t="shared" si="8"/>
        <v>3449</v>
      </c>
      <c r="G55" s="116">
        <f t="shared" si="9"/>
        <v>0</v>
      </c>
      <c r="H55" s="114">
        <v>3673</v>
      </c>
      <c r="I55" s="114">
        <v>3673</v>
      </c>
      <c r="J55" s="114">
        <v>3673</v>
      </c>
      <c r="K55" s="131">
        <v>2329</v>
      </c>
      <c r="L55" s="151">
        <f t="shared" si="30"/>
        <v>5387000</v>
      </c>
      <c r="M55" s="65">
        <f t="shared" si="31"/>
        <v>5384671</v>
      </c>
      <c r="N55" s="65">
        <v>2329</v>
      </c>
      <c r="O55" s="65"/>
      <c r="P55" s="65"/>
      <c r="Q55" s="151">
        <f t="shared" si="32"/>
        <v>5387000</v>
      </c>
      <c r="R55" s="185">
        <v>4048000</v>
      </c>
      <c r="S55" s="151">
        <f t="shared" si="33"/>
        <v>5387000</v>
      </c>
      <c r="T55" s="185">
        <v>4048000</v>
      </c>
      <c r="U55" s="185">
        <v>4048000</v>
      </c>
      <c r="V55" s="169">
        <v>906</v>
      </c>
      <c r="W55" s="63"/>
      <c r="X55" s="111">
        <v>5387000</v>
      </c>
      <c r="Y55" s="63"/>
      <c r="Z55" s="111">
        <v>5387000</v>
      </c>
      <c r="AA55" s="63"/>
      <c r="AB55" s="111">
        <v>5387000</v>
      </c>
    </row>
    <row r="56" spans="1:28" ht="38.4" customHeight="1" x14ac:dyDescent="0.3">
      <c r="A56" s="171" t="s">
        <v>47</v>
      </c>
      <c r="B56" s="165" t="s">
        <v>15</v>
      </c>
      <c r="C56" s="122">
        <v>5821</v>
      </c>
      <c r="D56" s="123"/>
      <c r="E56" s="124">
        <v>5820994</v>
      </c>
      <c r="F56" s="116">
        <f t="shared" si="8"/>
        <v>5820.9939999999997</v>
      </c>
      <c r="G56" s="116">
        <f t="shared" si="9"/>
        <v>-6.0000000003128662E-3</v>
      </c>
      <c r="H56" s="114">
        <v>3104</v>
      </c>
      <c r="I56" s="114">
        <f>3104+2580</f>
        <v>5684</v>
      </c>
      <c r="J56" s="114">
        <v>3954</v>
      </c>
      <c r="K56" s="131">
        <v>5031</v>
      </c>
      <c r="L56" s="151">
        <f t="shared" si="30"/>
        <v>13169800</v>
      </c>
      <c r="M56" s="65">
        <f t="shared" si="31"/>
        <v>13164769</v>
      </c>
      <c r="N56" s="65">
        <v>4385</v>
      </c>
      <c r="O56" s="65"/>
      <c r="P56" s="65"/>
      <c r="Q56" s="151">
        <f t="shared" si="32"/>
        <v>19253400</v>
      </c>
      <c r="R56" s="185">
        <v>12204000</v>
      </c>
      <c r="S56" s="151">
        <f t="shared" si="33"/>
        <v>20252000</v>
      </c>
      <c r="T56" s="185">
        <v>46725000</v>
      </c>
      <c r="U56" s="185">
        <v>47429000</v>
      </c>
      <c r="V56" s="169">
        <v>904</v>
      </c>
      <c r="W56" s="63">
        <v>3473800</v>
      </c>
      <c r="X56" s="105">
        <v>9696000</v>
      </c>
      <c r="Y56" s="63">
        <v>5078400</v>
      </c>
      <c r="Z56" s="105">
        <v>14175000</v>
      </c>
      <c r="AA56" s="63">
        <v>5342000</v>
      </c>
      <c r="AB56" s="105">
        <v>14910000</v>
      </c>
    </row>
    <row r="57" spans="1:28" ht="23.4" customHeight="1" x14ac:dyDescent="0.3">
      <c r="A57" s="171" t="s">
        <v>48</v>
      </c>
      <c r="B57" s="165" t="s">
        <v>16</v>
      </c>
      <c r="C57" s="122">
        <v>145</v>
      </c>
      <c r="D57" s="123"/>
      <c r="E57" s="124">
        <v>145000</v>
      </c>
      <c r="F57" s="116">
        <f t="shared" si="8"/>
        <v>145</v>
      </c>
      <c r="G57" s="116">
        <f t="shared" si="9"/>
        <v>0</v>
      </c>
      <c r="H57" s="114">
        <v>110</v>
      </c>
      <c r="I57" s="114">
        <v>110</v>
      </c>
      <c r="J57" s="114">
        <v>110</v>
      </c>
      <c r="K57" s="131">
        <v>111</v>
      </c>
      <c r="L57" s="151">
        <f t="shared" si="30"/>
        <v>101000</v>
      </c>
      <c r="M57" s="65">
        <f t="shared" si="31"/>
        <v>100889</v>
      </c>
      <c r="N57" s="65">
        <v>111</v>
      </c>
      <c r="O57" s="65"/>
      <c r="P57" s="65"/>
      <c r="Q57" s="151">
        <f t="shared" si="32"/>
        <v>101000</v>
      </c>
      <c r="R57" s="185">
        <v>92000</v>
      </c>
      <c r="S57" s="151">
        <f t="shared" si="33"/>
        <v>101000</v>
      </c>
      <c r="T57" s="185">
        <v>92000</v>
      </c>
      <c r="U57" s="185">
        <v>92000</v>
      </c>
      <c r="V57" s="169">
        <v>907</v>
      </c>
      <c r="W57" s="63"/>
      <c r="X57" s="111">
        <v>101000</v>
      </c>
      <c r="Y57" s="63"/>
      <c r="Z57" s="111">
        <v>101000</v>
      </c>
      <c r="AA57" s="63"/>
      <c r="AB57" s="111">
        <v>101000</v>
      </c>
    </row>
    <row r="58" spans="1:28" x14ac:dyDescent="0.3">
      <c r="A58" s="126" t="s">
        <v>65</v>
      </c>
      <c r="B58" s="127" t="s">
        <v>87</v>
      </c>
      <c r="C58" s="123"/>
      <c r="D58" s="123"/>
      <c r="E58" s="124"/>
      <c r="F58" s="116">
        <f t="shared" si="8"/>
        <v>0</v>
      </c>
      <c r="G58" s="116">
        <f t="shared" si="9"/>
        <v>0</v>
      </c>
      <c r="H58" s="114"/>
      <c r="I58" s="114">
        <v>962</v>
      </c>
      <c r="J58" s="114"/>
      <c r="K58" s="131">
        <v>0</v>
      </c>
      <c r="L58" s="151">
        <f t="shared" si="30"/>
        <v>0</v>
      </c>
      <c r="M58" s="65">
        <f t="shared" si="31"/>
        <v>0</v>
      </c>
      <c r="N58" s="65">
        <v>0</v>
      </c>
      <c r="O58" s="65"/>
      <c r="P58" s="65"/>
      <c r="Q58" s="151">
        <f t="shared" si="32"/>
        <v>0</v>
      </c>
      <c r="R58" s="151"/>
      <c r="S58" s="151">
        <f t="shared" si="33"/>
        <v>0</v>
      </c>
      <c r="T58" s="151"/>
      <c r="U58" s="151"/>
      <c r="V58" s="169" t="s">
        <v>61</v>
      </c>
      <c r="W58" s="63"/>
      <c r="X58" s="153"/>
      <c r="Y58" s="63"/>
      <c r="Z58" s="105"/>
      <c r="AA58" s="63"/>
      <c r="AB58" s="105"/>
    </row>
    <row r="59" spans="1:28" ht="24" x14ac:dyDescent="0.3">
      <c r="A59" s="139" t="s">
        <v>128</v>
      </c>
      <c r="B59" s="139" t="s">
        <v>127</v>
      </c>
      <c r="C59" s="123"/>
      <c r="D59" s="123"/>
      <c r="E59" s="124"/>
      <c r="F59" s="116"/>
      <c r="G59" s="116"/>
      <c r="H59" s="114"/>
      <c r="I59" s="114"/>
      <c r="J59" s="114"/>
      <c r="K59" s="131"/>
      <c r="L59" s="151">
        <f t="shared" si="30"/>
        <v>37706000</v>
      </c>
      <c r="M59" s="67"/>
      <c r="N59" s="67"/>
      <c r="O59" s="67"/>
      <c r="P59" s="67"/>
      <c r="Q59" s="151">
        <f>Y59+Z59</f>
        <v>37303000</v>
      </c>
      <c r="R59" s="151"/>
      <c r="S59" s="151">
        <f t="shared" si="33"/>
        <v>39570000</v>
      </c>
      <c r="T59" s="151"/>
      <c r="U59" s="151"/>
      <c r="V59" s="169"/>
      <c r="W59" s="108">
        <f>W60</f>
        <v>37706000</v>
      </c>
      <c r="X59" s="108">
        <f t="shared" ref="X59:AB59" si="34">X60</f>
        <v>0</v>
      </c>
      <c r="Y59" s="108">
        <f t="shared" si="34"/>
        <v>37303000</v>
      </c>
      <c r="Z59" s="108">
        <f t="shared" si="34"/>
        <v>0</v>
      </c>
      <c r="AA59" s="108">
        <f t="shared" si="34"/>
        <v>39570000</v>
      </c>
      <c r="AB59" s="108">
        <f t="shared" si="34"/>
        <v>0</v>
      </c>
    </row>
    <row r="60" spans="1:28" ht="36.6" x14ac:dyDescent="0.3">
      <c r="A60" s="161" t="s">
        <v>114</v>
      </c>
      <c r="B60" s="120" t="s">
        <v>126</v>
      </c>
      <c r="C60" s="123"/>
      <c r="D60" s="123"/>
      <c r="E60" s="124"/>
      <c r="F60" s="116"/>
      <c r="G60" s="116"/>
      <c r="H60" s="114"/>
      <c r="I60" s="114"/>
      <c r="J60" s="114"/>
      <c r="K60" s="131"/>
      <c r="L60" s="151">
        <f t="shared" si="30"/>
        <v>37706000</v>
      </c>
      <c r="M60" s="67"/>
      <c r="N60" s="67"/>
      <c r="O60" s="67"/>
      <c r="P60" s="67"/>
      <c r="Q60" s="151">
        <f t="shared" si="32"/>
        <v>37303000</v>
      </c>
      <c r="R60" s="151"/>
      <c r="S60" s="151">
        <f t="shared" si="33"/>
        <v>39570000</v>
      </c>
      <c r="T60" s="151"/>
      <c r="U60" s="151"/>
      <c r="V60" s="169">
        <v>906</v>
      </c>
      <c r="W60" s="108">
        <v>37706000</v>
      </c>
      <c r="X60" s="158"/>
      <c r="Y60" s="108">
        <v>37303000</v>
      </c>
      <c r="Z60" s="109"/>
      <c r="AA60" s="108">
        <v>39570000</v>
      </c>
      <c r="AB60" s="109"/>
    </row>
    <row r="61" spans="1:28" ht="24.6" hidden="1" x14ac:dyDescent="0.3">
      <c r="A61" s="43" t="s">
        <v>73</v>
      </c>
      <c r="B61" s="44" t="s">
        <v>72</v>
      </c>
      <c r="C61" s="49"/>
      <c r="D61" s="49"/>
      <c r="E61" s="50"/>
      <c r="F61" s="51">
        <f t="shared" si="8"/>
        <v>0</v>
      </c>
      <c r="G61" s="51">
        <f t="shared" si="9"/>
        <v>0</v>
      </c>
      <c r="H61" s="61"/>
      <c r="I61" s="61"/>
      <c r="J61" s="61"/>
      <c r="K61" s="61">
        <v>1000</v>
      </c>
      <c r="L61" s="154">
        <f t="shared" si="30"/>
        <v>0</v>
      </c>
      <c r="M61" s="67">
        <f t="shared" si="31"/>
        <v>-1000</v>
      </c>
      <c r="N61" s="67">
        <v>0</v>
      </c>
      <c r="O61" s="67"/>
      <c r="P61" s="67"/>
      <c r="Q61" s="67">
        <f t="shared" si="32"/>
        <v>0</v>
      </c>
      <c r="R61" s="67"/>
      <c r="S61" s="151">
        <f t="shared" si="33"/>
        <v>0</v>
      </c>
      <c r="T61" s="174"/>
      <c r="U61" s="174"/>
      <c r="V61" s="6" t="s">
        <v>64</v>
      </c>
      <c r="W61" s="108"/>
      <c r="X61" s="109"/>
      <c r="Y61" s="108"/>
      <c r="Z61" s="109"/>
      <c r="AA61" s="108"/>
      <c r="AB61" s="109"/>
    </row>
    <row r="62" spans="1:28" hidden="1" x14ac:dyDescent="0.3">
      <c r="A62" s="180" t="s">
        <v>49</v>
      </c>
      <c r="B62" s="10" t="s">
        <v>18</v>
      </c>
      <c r="C62" s="21">
        <f>180+360</f>
        <v>540</v>
      </c>
      <c r="D62" s="21">
        <v>360</v>
      </c>
      <c r="E62" s="29">
        <f>180000+360000</f>
        <v>540000</v>
      </c>
      <c r="F62" s="6">
        <f t="shared" si="8"/>
        <v>540</v>
      </c>
      <c r="G62" s="6">
        <f t="shared" si="9"/>
        <v>0</v>
      </c>
      <c r="H62" s="60"/>
      <c r="I62" s="60"/>
      <c r="J62" s="60"/>
      <c r="K62" s="60"/>
      <c r="L62" s="65"/>
      <c r="M62" s="65"/>
      <c r="N62" s="65"/>
      <c r="O62" s="155"/>
      <c r="P62" s="155"/>
      <c r="Q62" s="155"/>
      <c r="R62" s="155"/>
      <c r="S62" s="151">
        <f t="shared" si="33"/>
        <v>0</v>
      </c>
      <c r="T62" s="174"/>
      <c r="U62" s="174"/>
      <c r="V62" s="6"/>
      <c r="W62" s="6"/>
      <c r="X62" s="156"/>
      <c r="Y62" s="6"/>
      <c r="Z62" s="156"/>
      <c r="AA62" s="6"/>
      <c r="AB62" s="156"/>
    </row>
    <row r="63" spans="1:28" ht="16.95" customHeight="1" x14ac:dyDescent="0.3">
      <c r="A63" s="45" t="s">
        <v>55</v>
      </c>
      <c r="B63" s="55" t="s">
        <v>56</v>
      </c>
      <c r="C63" s="33">
        <f>3208.7+534.9</f>
        <v>3743.6</v>
      </c>
      <c r="D63" s="34"/>
      <c r="E63" s="35">
        <f>3208759+534875</f>
        <v>3743634</v>
      </c>
      <c r="F63" s="6">
        <f>E63/1000</f>
        <v>3743.634</v>
      </c>
      <c r="G63" s="6">
        <f>F63-C63</f>
        <v>3.4000000000105501E-2</v>
      </c>
      <c r="H63" s="60"/>
      <c r="I63" s="60"/>
      <c r="J63" s="60"/>
      <c r="K63" s="60"/>
      <c r="L63" s="65">
        <v>124000</v>
      </c>
      <c r="M63" s="65"/>
      <c r="N63" s="65"/>
      <c r="O63" s="155"/>
      <c r="P63" s="155"/>
      <c r="Q63" s="155"/>
      <c r="R63" s="155"/>
      <c r="S63" s="151">
        <f t="shared" si="33"/>
        <v>0</v>
      </c>
      <c r="T63" s="174"/>
      <c r="U63" s="174"/>
      <c r="V63" s="6">
        <v>905</v>
      </c>
      <c r="W63" s="6"/>
      <c r="X63" s="156"/>
      <c r="Y63" s="6"/>
      <c r="Z63" s="156"/>
      <c r="AA63" s="6"/>
      <c r="AB63" s="156"/>
    </row>
    <row r="64" spans="1:28" x14ac:dyDescent="0.3">
      <c r="C64" s="22">
        <f>C6</f>
        <v>864721.7</v>
      </c>
      <c r="D64" s="22">
        <f>D6</f>
        <v>360</v>
      </c>
      <c r="E64" s="22">
        <f>E6</f>
        <v>864721718.66999996</v>
      </c>
      <c r="F64" s="22">
        <f>F6</f>
        <v>832206.21461999987</v>
      </c>
      <c r="G64" s="22">
        <f>G6</f>
        <v>0.11462000000285499</v>
      </c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6"/>
      <c r="W64" s="6"/>
      <c r="X64" s="156"/>
      <c r="Y64" s="6"/>
      <c r="Z64" s="156"/>
      <c r="AA64" s="6"/>
      <c r="AB64" s="156"/>
    </row>
    <row r="65" spans="1:28" x14ac:dyDescent="0.3">
      <c r="C65" s="6">
        <f>C6-C64</f>
        <v>0</v>
      </c>
      <c r="D65" s="6">
        <f>D6-D64</f>
        <v>0</v>
      </c>
      <c r="E65" s="6">
        <f>E6-E64</f>
        <v>0</v>
      </c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6"/>
      <c r="W65" s="6"/>
      <c r="X65" s="156"/>
      <c r="Y65" s="6"/>
      <c r="Z65" s="156"/>
      <c r="AA65" s="6"/>
      <c r="AB65" s="156"/>
    </row>
    <row r="66" spans="1:28" x14ac:dyDescent="0.3">
      <c r="A66" s="3" t="s">
        <v>137</v>
      </c>
      <c r="C66" s="6"/>
      <c r="D66" s="6"/>
      <c r="E66" s="6"/>
      <c r="H66" s="46">
        <v>0</v>
      </c>
      <c r="I66" s="46">
        <v>1</v>
      </c>
      <c r="J66" s="46"/>
      <c r="K66" s="46"/>
      <c r="L66" s="46">
        <f>L7</f>
        <v>26214000</v>
      </c>
      <c r="M66" s="46">
        <f t="shared" ref="M66:R66" si="35">M7</f>
        <v>26214000</v>
      </c>
      <c r="N66" s="46">
        <f t="shared" si="35"/>
        <v>0</v>
      </c>
      <c r="O66" s="46">
        <f t="shared" si="35"/>
        <v>0</v>
      </c>
      <c r="P66" s="46">
        <f t="shared" si="35"/>
        <v>0</v>
      </c>
      <c r="Q66" s="46">
        <f t="shared" ref="Q66:AB66" si="36">Q7</f>
        <v>0</v>
      </c>
      <c r="R66" s="46">
        <f t="shared" si="35"/>
        <v>18077000</v>
      </c>
      <c r="S66" s="46">
        <f t="shared" si="36"/>
        <v>0</v>
      </c>
      <c r="T66" s="46">
        <f t="shared" si="36"/>
        <v>0</v>
      </c>
      <c r="U66" s="46">
        <f t="shared" si="36"/>
        <v>0</v>
      </c>
      <c r="V66" s="46">
        <f t="shared" si="36"/>
        <v>0</v>
      </c>
      <c r="W66" s="46">
        <f t="shared" si="36"/>
        <v>0</v>
      </c>
      <c r="X66" s="46">
        <f t="shared" si="36"/>
        <v>26214000</v>
      </c>
      <c r="Y66" s="46">
        <f t="shared" si="36"/>
        <v>0</v>
      </c>
      <c r="Z66" s="46">
        <f t="shared" si="36"/>
        <v>0</v>
      </c>
      <c r="AA66" s="46">
        <f t="shared" si="36"/>
        <v>0</v>
      </c>
      <c r="AB66" s="46">
        <f t="shared" si="36"/>
        <v>0</v>
      </c>
    </row>
    <row r="67" spans="1:28" x14ac:dyDescent="0.3">
      <c r="A67" s="3" t="s">
        <v>61</v>
      </c>
      <c r="C67" s="6"/>
      <c r="D67" s="6"/>
      <c r="E67" s="6"/>
      <c r="H67" s="46">
        <f>H22+H20+H30+H31+H32+H46+H47+H50+H51+H58+H7</f>
        <v>3325</v>
      </c>
      <c r="I67" s="46">
        <f>I22+I20+I30+I31+I32+I46+I47+I50+I51+I58+I7</f>
        <v>13244</v>
      </c>
      <c r="J67" s="46">
        <f>J22+J20+J30+J31+J32+J46+J47+J50+J51+J58+J7</f>
        <v>2221</v>
      </c>
      <c r="K67" s="46">
        <f>K22+K20+K30+K31+K32+K46+K47+K50+K51+K58+K7</f>
        <v>12180</v>
      </c>
      <c r="L67" s="103">
        <f>L22+L20+L30+L31+L32+L46+L47+L50+L51+L58+L49</f>
        <v>4458743.5999999996</v>
      </c>
      <c r="M67" s="103">
        <f>M22+M20+M30+M31+M32+M46+M47+M50+M51+M58+M49</f>
        <v>4446563.5999999996</v>
      </c>
      <c r="N67" s="103">
        <f>N22+N20+N30+N31+N32+N46+N47+N50+N51+N58+N49</f>
        <v>2180</v>
      </c>
      <c r="O67" s="103">
        <f>O22+O20+O30+O31+O32+O46+O47+O50+O51+O58+O49</f>
        <v>0</v>
      </c>
      <c r="P67" s="103">
        <f>P22+P20+P30+P31+P32+P46+P47+P50+P51+P58+P49</f>
        <v>0</v>
      </c>
      <c r="Q67" s="103">
        <f>Q20+Q30+Q31+Q32+Q33+Q34+Q35+Q46+Q47+Q49+Q50+Q51</f>
        <v>4501921.05</v>
      </c>
      <c r="R67" s="103">
        <f>R20+R30+R31+R32+R33+R34+R35+R46+R47+R49+R50+R51</f>
        <v>14279324</v>
      </c>
      <c r="S67" s="103">
        <f t="shared" ref="S67:AB67" si="37">S20+S30+S31+S32+S33+S34+S35+S46+S47+S49+S50+S51</f>
        <v>4702166.04</v>
      </c>
      <c r="T67" s="103">
        <f t="shared" si="37"/>
        <v>14224324</v>
      </c>
      <c r="U67" s="103">
        <f t="shared" si="37"/>
        <v>4224324</v>
      </c>
      <c r="V67" s="103">
        <f t="shared" si="37"/>
        <v>10824</v>
      </c>
      <c r="W67" s="103">
        <f t="shared" si="37"/>
        <v>1060634.92</v>
      </c>
      <c r="X67" s="103">
        <f t="shared" si="37"/>
        <v>3398108.6799999997</v>
      </c>
      <c r="Y67" s="103">
        <f t="shared" si="37"/>
        <v>1094794.05</v>
      </c>
      <c r="Z67" s="103">
        <f t="shared" si="37"/>
        <v>3407127</v>
      </c>
      <c r="AA67" s="103">
        <f t="shared" si="37"/>
        <v>1250281.25</v>
      </c>
      <c r="AB67" s="103">
        <f t="shared" si="37"/>
        <v>3451884.79</v>
      </c>
    </row>
    <row r="68" spans="1:28" x14ac:dyDescent="0.3">
      <c r="A68" s="3" t="s">
        <v>63</v>
      </c>
      <c r="H68" s="46">
        <f t="shared" ref="H68:P68" si="38">H56</f>
        <v>3104</v>
      </c>
      <c r="I68" s="46">
        <f t="shared" si="38"/>
        <v>5684</v>
      </c>
      <c r="J68" s="46">
        <f t="shared" si="38"/>
        <v>3954</v>
      </c>
      <c r="K68" s="46">
        <f t="shared" si="38"/>
        <v>5031</v>
      </c>
      <c r="L68" s="103">
        <f t="shared" si="38"/>
        <v>13169800</v>
      </c>
      <c r="M68" s="103">
        <f t="shared" si="38"/>
        <v>13164769</v>
      </c>
      <c r="N68" s="103">
        <f t="shared" si="38"/>
        <v>4385</v>
      </c>
      <c r="O68" s="103">
        <f t="shared" si="38"/>
        <v>0</v>
      </c>
      <c r="P68" s="103">
        <f t="shared" si="38"/>
        <v>0</v>
      </c>
      <c r="Q68" s="103">
        <f>Q36+Q56</f>
        <v>19253400</v>
      </c>
      <c r="R68" s="103">
        <f>R36+R56</f>
        <v>12204000</v>
      </c>
      <c r="S68" s="103">
        <f t="shared" ref="S68:AB68" si="39">S36+S56</f>
        <v>20252000</v>
      </c>
      <c r="T68" s="103">
        <f t="shared" si="39"/>
        <v>46725000</v>
      </c>
      <c r="U68" s="103">
        <f t="shared" si="39"/>
        <v>49243718</v>
      </c>
      <c r="V68" s="103">
        <f t="shared" si="39"/>
        <v>1808</v>
      </c>
      <c r="W68" s="103">
        <f t="shared" si="39"/>
        <v>3473800</v>
      </c>
      <c r="X68" s="103">
        <f t="shared" si="39"/>
        <v>9696000</v>
      </c>
      <c r="Y68" s="103">
        <f t="shared" si="39"/>
        <v>5078400</v>
      </c>
      <c r="Z68" s="103">
        <f t="shared" si="39"/>
        <v>14175000</v>
      </c>
      <c r="AA68" s="103">
        <f t="shared" si="39"/>
        <v>5342000</v>
      </c>
      <c r="AB68" s="103">
        <f t="shared" si="39"/>
        <v>14910000</v>
      </c>
    </row>
    <row r="69" spans="1:28" x14ac:dyDescent="0.3">
      <c r="A69" s="3" t="s">
        <v>60</v>
      </c>
      <c r="H69" s="46">
        <f>H15+H26+H27+H29+H43+H44+H45+H54+H55</f>
        <v>601453</v>
      </c>
      <c r="I69" s="46">
        <f>I15+I26+I27+I29+I43+I44+I45+I54+I55</f>
        <v>770705.8</v>
      </c>
      <c r="J69" s="46">
        <f>J15+J26+J27+J29+J43+J44+J45+J54+J55</f>
        <v>688970</v>
      </c>
      <c r="K69" s="46">
        <f>K15+K26+K27+K29+K43+K44+K45+K54+K55</f>
        <v>535811</v>
      </c>
      <c r="L69" s="103">
        <f t="shared" ref="L69:P69" si="40">L15+L26+L27+L29+L43+L44+L45+L54+L55+L17+L60+L18</f>
        <v>873026254</v>
      </c>
      <c r="M69" s="103">
        <f t="shared" si="40"/>
        <v>834784443</v>
      </c>
      <c r="N69" s="103">
        <f t="shared" si="40"/>
        <v>408610</v>
      </c>
      <c r="O69" s="103">
        <f t="shared" si="40"/>
        <v>0</v>
      </c>
      <c r="P69" s="103">
        <f t="shared" si="40"/>
        <v>0</v>
      </c>
      <c r="Q69" s="103">
        <f>Q15+Q17+Q18+Q26+Q27+Q29+Q43+Q44+Q45+Q54+Q55+Q60</f>
        <v>906943857</v>
      </c>
      <c r="R69" s="103">
        <f>R15+R17+R18+R26+R27+R29+R43+R44+R45+R54+R55+R60</f>
        <v>957328762</v>
      </c>
      <c r="S69" s="103">
        <f t="shared" ref="S69:AB69" si="41">S15+S17+S18+S26+S27+S29+S43+S44+S45+S54+S55+S60</f>
        <v>909358062.99000001</v>
      </c>
      <c r="T69" s="103">
        <f t="shared" si="41"/>
        <v>967407381</v>
      </c>
      <c r="U69" s="103">
        <f t="shared" si="41"/>
        <v>1051617281</v>
      </c>
      <c r="V69" s="103">
        <f t="shared" si="41"/>
        <v>10872</v>
      </c>
      <c r="W69" s="103">
        <f t="shared" si="41"/>
        <v>72418491</v>
      </c>
      <c r="X69" s="103">
        <f t="shared" si="41"/>
        <v>800607763</v>
      </c>
      <c r="Y69" s="103">
        <f t="shared" si="41"/>
        <v>69993733</v>
      </c>
      <c r="Z69" s="103">
        <f t="shared" si="41"/>
        <v>836950124</v>
      </c>
      <c r="AA69" s="103">
        <f t="shared" si="41"/>
        <v>96366708.879999995</v>
      </c>
      <c r="AB69" s="103">
        <f t="shared" si="41"/>
        <v>812991354.11000001</v>
      </c>
    </row>
    <row r="70" spans="1:28" x14ac:dyDescent="0.3">
      <c r="A70" s="3" t="s">
        <v>64</v>
      </c>
      <c r="H70" s="46">
        <f>H21+H57+H61</f>
        <v>110</v>
      </c>
      <c r="I70" s="46">
        <f>I21+I57+I61</f>
        <v>4134.2</v>
      </c>
      <c r="J70" s="46">
        <f>J21+J57+J61</f>
        <v>110</v>
      </c>
      <c r="K70" s="46">
        <f>K21+K57+K61</f>
        <v>1111</v>
      </c>
      <c r="L70" s="103">
        <f t="shared" ref="L70:P70" si="42">L21+L57+L37</f>
        <v>8800644.6400000006</v>
      </c>
      <c r="M70" s="103">
        <f t="shared" si="42"/>
        <v>8800533.6400000006</v>
      </c>
      <c r="N70" s="103">
        <f t="shared" si="42"/>
        <v>111</v>
      </c>
      <c r="O70" s="103">
        <f t="shared" si="42"/>
        <v>0</v>
      </c>
      <c r="P70" s="103">
        <f t="shared" si="42"/>
        <v>0</v>
      </c>
      <c r="Q70" s="103">
        <f>Q21+Q57+Q37</f>
        <v>181995</v>
      </c>
      <c r="R70" s="103">
        <f>R21+R57+R37</f>
        <v>2050225</v>
      </c>
      <c r="S70" s="103">
        <f t="shared" ref="S70:AB70" si="43">S21+S57+S37</f>
        <v>181995</v>
      </c>
      <c r="T70" s="103">
        <f t="shared" si="43"/>
        <v>136203</v>
      </c>
      <c r="U70" s="103">
        <f t="shared" si="43"/>
        <v>118139</v>
      </c>
      <c r="V70" s="103">
        <f t="shared" si="43"/>
        <v>2721</v>
      </c>
      <c r="W70" s="103">
        <f t="shared" si="43"/>
        <v>7814896</v>
      </c>
      <c r="X70" s="103">
        <f t="shared" si="43"/>
        <v>985748.64</v>
      </c>
      <c r="Y70" s="103">
        <f t="shared" si="43"/>
        <v>72896</v>
      </c>
      <c r="Z70" s="103">
        <f t="shared" si="43"/>
        <v>109099</v>
      </c>
      <c r="AA70" s="103">
        <f t="shared" si="43"/>
        <v>72896</v>
      </c>
      <c r="AB70" s="103">
        <f t="shared" si="43"/>
        <v>109099</v>
      </c>
    </row>
    <row r="71" spans="1:28" x14ac:dyDescent="0.3">
      <c r="A71" s="3" t="s">
        <v>62</v>
      </c>
      <c r="H71" s="46">
        <f>H11+H23+H16+H52+H53</f>
        <v>1286</v>
      </c>
      <c r="I71" s="46">
        <f>I11+I23+I16+I52+I53</f>
        <v>42332</v>
      </c>
      <c r="J71" s="46">
        <f>J11+J23+J16+J52+J53</f>
        <v>1286</v>
      </c>
      <c r="K71" s="46">
        <f>K11+K23+K16+K52+K53</f>
        <v>2581</v>
      </c>
      <c r="L71" s="103">
        <f>L11+L23+L16+L52+L53+L61+L12+L28+L63+L48</f>
        <v>40139631.43</v>
      </c>
      <c r="M71" s="103">
        <f>M11+M23+M16+M52+M53+M61+M12+M28+M63+M48</f>
        <v>40012050.43</v>
      </c>
      <c r="N71" s="103">
        <f>N11+N23+N16+N52+N53+N61+N12+N28+N63+N48</f>
        <v>2649</v>
      </c>
      <c r="O71" s="103">
        <f>O11+O23+O16+O52+O53+O61+O12+O28+O63+O48</f>
        <v>0</v>
      </c>
      <c r="P71" s="103">
        <f>P11+P23+P16+P52+P53+P61+P12+P28+P63+P48</f>
        <v>0</v>
      </c>
      <c r="Q71" s="103">
        <f>Q11+Q12+Q16+Q19+Q23+Q28+Q48+Q52+Q53</f>
        <v>51965387.739999995</v>
      </c>
      <c r="R71" s="103">
        <f>R11+R12+R16+R19+R23+R28+R48+R52+R53</f>
        <v>59324000</v>
      </c>
      <c r="S71" s="103">
        <f t="shared" ref="S71:AB71" si="44">S11+S12+S16+S19+S23+S28+S48+S52+S53</f>
        <v>56284634.090000004</v>
      </c>
      <c r="T71" s="103">
        <f t="shared" si="44"/>
        <v>49692100</v>
      </c>
      <c r="U71" s="103">
        <f t="shared" si="44"/>
        <v>61318000</v>
      </c>
      <c r="V71" s="103">
        <f t="shared" si="44"/>
        <v>8145</v>
      </c>
      <c r="W71" s="103">
        <f t="shared" si="44"/>
        <v>12642043.119999999</v>
      </c>
      <c r="X71" s="103">
        <f t="shared" si="44"/>
        <v>27373588.309999999</v>
      </c>
      <c r="Y71" s="103">
        <f t="shared" si="44"/>
        <v>17165275.869999997</v>
      </c>
      <c r="Z71" s="103">
        <f t="shared" si="44"/>
        <v>34800111.870000005</v>
      </c>
      <c r="AA71" s="103">
        <f t="shared" si="44"/>
        <v>18635298.75</v>
      </c>
      <c r="AB71" s="103">
        <f t="shared" si="44"/>
        <v>37649335.340000004</v>
      </c>
    </row>
    <row r="72" spans="1:28" x14ac:dyDescent="0.3"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6"/>
      <c r="W72" s="46"/>
      <c r="X72" s="103"/>
      <c r="Y72" s="46"/>
      <c r="Z72" s="103"/>
      <c r="AA72" s="46"/>
      <c r="AB72" s="103"/>
    </row>
    <row r="73" spans="1:28" x14ac:dyDescent="0.3">
      <c r="H73" s="53">
        <f t="shared" ref="H73:W73" si="45">SUM(H66:H72)</f>
        <v>609278</v>
      </c>
      <c r="I73" s="53">
        <f t="shared" si="45"/>
        <v>836101</v>
      </c>
      <c r="J73" s="53">
        <f t="shared" si="45"/>
        <v>696541</v>
      </c>
      <c r="K73" s="53">
        <f t="shared" si="45"/>
        <v>556714</v>
      </c>
      <c r="L73" s="104">
        <f>SUM(L66:L72)</f>
        <v>965809073.66999996</v>
      </c>
      <c r="M73" s="104">
        <f t="shared" si="45"/>
        <v>927422359.66999996</v>
      </c>
      <c r="N73" s="104">
        <f t="shared" si="45"/>
        <v>417935</v>
      </c>
      <c r="O73" s="104"/>
      <c r="P73" s="104"/>
      <c r="Q73" s="104">
        <f t="shared" si="45"/>
        <v>982846560.78999996</v>
      </c>
      <c r="R73" s="187">
        <f t="shared" si="45"/>
        <v>1063263311</v>
      </c>
      <c r="S73" s="104">
        <f t="shared" si="45"/>
        <v>990778858.12</v>
      </c>
      <c r="T73" s="187">
        <f t="shared" si="45"/>
        <v>1078185008</v>
      </c>
      <c r="U73" s="187">
        <f t="shared" si="45"/>
        <v>1166521462</v>
      </c>
      <c r="V73" s="104"/>
      <c r="W73" s="104">
        <f t="shared" si="45"/>
        <v>97409865.040000007</v>
      </c>
      <c r="X73" s="104">
        <f>SUM(X66:X72)</f>
        <v>868275208.62999988</v>
      </c>
      <c r="Y73" s="104">
        <f t="shared" ref="Y73:AB73" si="46">SUM(Y66:Y72)</f>
        <v>93405098.919999987</v>
      </c>
      <c r="Z73" s="104">
        <f t="shared" si="46"/>
        <v>889441461.87</v>
      </c>
      <c r="AA73" s="104">
        <f t="shared" si="46"/>
        <v>121667184.88</v>
      </c>
      <c r="AB73" s="104">
        <f t="shared" si="46"/>
        <v>869111673.24000001</v>
      </c>
    </row>
    <row r="74" spans="1:28" x14ac:dyDescent="0.3"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6"/>
      <c r="W74" s="46">
        <f t="shared" ref="W74:AB74" si="47">W73-W5</f>
        <v>0</v>
      </c>
      <c r="X74" s="46">
        <f t="shared" si="47"/>
        <v>0</v>
      </c>
      <c r="Y74" s="46">
        <f t="shared" si="47"/>
        <v>0</v>
      </c>
      <c r="Z74" s="46">
        <f t="shared" si="47"/>
        <v>0</v>
      </c>
      <c r="AA74" s="46">
        <f t="shared" si="47"/>
        <v>0</v>
      </c>
      <c r="AB74" s="46">
        <f t="shared" si="47"/>
        <v>0</v>
      </c>
    </row>
    <row r="75" spans="1:28" x14ac:dyDescent="0.3"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6"/>
      <c r="W75" s="46"/>
      <c r="X75" s="103"/>
      <c r="Y75" s="46"/>
      <c r="Z75" s="103"/>
      <c r="AA75" s="46"/>
      <c r="AB75" s="103"/>
    </row>
    <row r="76" spans="1:28" x14ac:dyDescent="0.3">
      <c r="A76" s="3">
        <v>0</v>
      </c>
      <c r="H76" s="46">
        <f t="shared" ref="H76:N76" si="48">H73-H5</f>
        <v>0</v>
      </c>
      <c r="I76" s="46">
        <f t="shared" si="48"/>
        <v>1</v>
      </c>
      <c r="J76" s="46">
        <f t="shared" si="48"/>
        <v>0</v>
      </c>
      <c r="K76" s="46">
        <f t="shared" si="48"/>
        <v>11000</v>
      </c>
      <c r="L76" s="46">
        <f t="shared" si="48"/>
        <v>0</v>
      </c>
      <c r="M76" s="46">
        <f t="shared" si="48"/>
        <v>0</v>
      </c>
      <c r="N76" s="46">
        <f t="shared" si="48"/>
        <v>0</v>
      </c>
      <c r="O76" s="46"/>
      <c r="P76" s="46"/>
      <c r="Q76" s="46">
        <f>Q73-Q5</f>
        <v>0</v>
      </c>
      <c r="R76" s="46">
        <f t="shared" ref="R76:AB76" si="49">R73-R5</f>
        <v>0</v>
      </c>
      <c r="S76" s="46">
        <f t="shared" si="49"/>
        <v>0</v>
      </c>
      <c r="T76" s="46">
        <f t="shared" si="49"/>
        <v>0</v>
      </c>
      <c r="U76" s="46">
        <f t="shared" si="49"/>
        <v>0</v>
      </c>
      <c r="V76" s="46">
        <f t="shared" si="49"/>
        <v>0</v>
      </c>
      <c r="W76" s="46">
        <f t="shared" si="49"/>
        <v>0</v>
      </c>
      <c r="X76" s="46">
        <f t="shared" si="49"/>
        <v>0</v>
      </c>
      <c r="Y76" s="46">
        <f t="shared" si="49"/>
        <v>0</v>
      </c>
      <c r="Z76" s="46">
        <f t="shared" si="49"/>
        <v>0</v>
      </c>
      <c r="AA76" s="46">
        <f t="shared" si="49"/>
        <v>0</v>
      </c>
      <c r="AB76" s="46">
        <f t="shared" si="49"/>
        <v>0</v>
      </c>
    </row>
    <row r="77" spans="1:28" x14ac:dyDescent="0.3"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156"/>
      <c r="Y77" s="6"/>
      <c r="Z77" s="156"/>
      <c r="AA77" s="6"/>
      <c r="AB77" s="156"/>
    </row>
    <row r="78" spans="1:28" x14ac:dyDescent="0.3"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156"/>
      <c r="Y78" s="6"/>
      <c r="Z78" s="156"/>
      <c r="AA78" s="6"/>
      <c r="AB78" s="156"/>
    </row>
    <row r="79" spans="1:28" x14ac:dyDescent="0.3"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156"/>
      <c r="Y79" s="6"/>
      <c r="Z79" s="156"/>
      <c r="AA79" s="6"/>
      <c r="AB79" s="156"/>
    </row>
    <row r="80" spans="1:28" x14ac:dyDescent="0.3"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156"/>
      <c r="Y80" s="6"/>
      <c r="Z80" s="156"/>
      <c r="AA80" s="6"/>
      <c r="AB80" s="156"/>
    </row>
    <row r="81" spans="12:28" x14ac:dyDescent="0.3"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156"/>
      <c r="Y81" s="6"/>
      <c r="Z81" s="156"/>
      <c r="AA81" s="6"/>
      <c r="AB81" s="156"/>
    </row>
    <row r="82" spans="12:28" x14ac:dyDescent="0.3"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156"/>
      <c r="Y82" s="6"/>
      <c r="Z82" s="156"/>
      <c r="AA82" s="6"/>
      <c r="AB82" s="156"/>
    </row>
    <row r="83" spans="12:28" x14ac:dyDescent="0.3"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156"/>
      <c r="Y83" s="6"/>
      <c r="Z83" s="156"/>
      <c r="AA83" s="6"/>
      <c r="AB83" s="156"/>
    </row>
    <row r="84" spans="12:28" x14ac:dyDescent="0.3"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156"/>
      <c r="Y84" s="6"/>
      <c r="Z84" s="156"/>
      <c r="AA84" s="6"/>
      <c r="AB84" s="156"/>
    </row>
  </sheetData>
  <mergeCells count="3">
    <mergeCell ref="A1:S1"/>
    <mergeCell ref="A2:S2"/>
    <mergeCell ref="A3:S3"/>
  </mergeCells>
  <pageMargins left="0" right="0" top="0" bottom="0" header="0.31496062992125984" footer="0.31496062992125984"/>
  <pageSetup paperSize="9" scale="5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00B050"/>
  </sheetPr>
  <dimension ref="A1:AB79"/>
  <sheetViews>
    <sheetView workbookViewId="0">
      <pane xSplit="7" ySplit="4" topLeftCell="L15" activePane="bottomRight" state="frozen"/>
      <selection pane="topRight" activeCell="H1" sqref="H1"/>
      <selection pane="bottomLeft" activeCell="A5" sqref="A5"/>
      <selection pane="bottomRight" activeCell="S68" sqref="S68:U68"/>
    </sheetView>
  </sheetViews>
  <sheetFormatPr defaultColWidth="8.88671875" defaultRowHeight="14.4" x14ac:dyDescent="0.3"/>
  <cols>
    <col min="1" max="1" width="20.6640625" style="3" customWidth="1"/>
    <col min="2" max="2" width="76.33203125" style="3" customWidth="1"/>
    <col min="3" max="3" width="17.88671875" style="3" hidden="1" customWidth="1"/>
    <col min="4" max="4" width="16.109375" style="3" hidden="1" customWidth="1"/>
    <col min="5" max="5" width="18.5546875" style="3" hidden="1" customWidth="1"/>
    <col min="6" max="6" width="11.6640625" style="3" hidden="1" customWidth="1"/>
    <col min="7" max="7" width="11" style="3" hidden="1" customWidth="1"/>
    <col min="8" max="10" width="14.33203125" style="3" hidden="1" customWidth="1"/>
    <col min="11" max="11" width="13.6640625" style="3" hidden="1" customWidth="1"/>
    <col min="12" max="12" width="14.88671875" style="3" customWidth="1"/>
    <col min="13" max="16" width="14.88671875" style="3" hidden="1" customWidth="1"/>
    <col min="17" max="21" width="14.88671875" style="3" customWidth="1"/>
    <col min="22" max="22" width="8.88671875" style="3"/>
    <col min="23" max="23" width="12.88671875" style="3" customWidth="1"/>
    <col min="24" max="24" width="14.33203125" style="102" customWidth="1"/>
    <col min="25" max="25" width="13.33203125" style="3" customWidth="1"/>
    <col min="26" max="26" width="13.5546875" style="102" customWidth="1"/>
    <col min="27" max="27" width="13.6640625" style="3" customWidth="1"/>
    <col min="28" max="28" width="13.33203125" style="102" customWidth="1"/>
    <col min="29" max="16384" width="8.88671875" style="3"/>
  </cols>
  <sheetData>
    <row r="1" spans="1:28" ht="12" customHeight="1" x14ac:dyDescent="0.3">
      <c r="A1" s="272" t="s">
        <v>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172"/>
      <c r="U1" s="172"/>
    </row>
    <row r="2" spans="1:28" ht="12" customHeight="1" x14ac:dyDescent="0.3">
      <c r="A2" s="272" t="s">
        <v>1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172"/>
      <c r="U2" s="172"/>
    </row>
    <row r="3" spans="1:28" ht="12" customHeight="1" x14ac:dyDescent="0.3">
      <c r="A3" s="278" t="s">
        <v>138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173"/>
      <c r="U3" s="173"/>
      <c r="V3" s="167" t="s">
        <v>135</v>
      </c>
    </row>
    <row r="4" spans="1:28" ht="28.8" x14ac:dyDescent="0.3">
      <c r="A4" s="4" t="s">
        <v>74</v>
      </c>
      <c r="B4" s="4" t="s">
        <v>2</v>
      </c>
      <c r="C4" s="4" t="s">
        <v>34</v>
      </c>
      <c r="D4" s="5" t="s">
        <v>17</v>
      </c>
      <c r="E4" s="5" t="s">
        <v>35</v>
      </c>
      <c r="H4" s="47">
        <v>2020</v>
      </c>
      <c r="I4" s="48">
        <v>2020</v>
      </c>
      <c r="J4" s="47">
        <v>2021</v>
      </c>
      <c r="K4" s="47">
        <v>2021</v>
      </c>
      <c r="L4" s="128">
        <v>2022</v>
      </c>
      <c r="M4" s="129" t="s">
        <v>117</v>
      </c>
      <c r="N4" s="129">
        <v>2022</v>
      </c>
      <c r="O4" s="129"/>
      <c r="P4" s="129"/>
      <c r="Q4" s="128">
        <v>2023</v>
      </c>
      <c r="R4" s="175" t="s">
        <v>139</v>
      </c>
      <c r="S4" s="175">
        <v>2024</v>
      </c>
      <c r="T4" s="175" t="s">
        <v>140</v>
      </c>
      <c r="U4" s="175" t="s">
        <v>141</v>
      </c>
      <c r="V4" s="167"/>
      <c r="W4" s="106" t="s">
        <v>83</v>
      </c>
      <c r="X4" s="107" t="s">
        <v>84</v>
      </c>
      <c r="Y4" s="106" t="s">
        <v>121</v>
      </c>
      <c r="Z4" s="107" t="s">
        <v>122</v>
      </c>
      <c r="AA4" s="106" t="s">
        <v>129</v>
      </c>
      <c r="AB4" s="107" t="s">
        <v>130</v>
      </c>
    </row>
    <row r="5" spans="1:28" x14ac:dyDescent="0.3">
      <c r="A5" s="134" t="s">
        <v>57</v>
      </c>
      <c r="B5" s="113" t="s">
        <v>58</v>
      </c>
      <c r="C5" s="16">
        <f t="shared" ref="C5:S5" si="0">C6-C58</f>
        <v>860978.1</v>
      </c>
      <c r="D5" s="16">
        <f t="shared" si="0"/>
        <v>360</v>
      </c>
      <c r="E5" s="16">
        <f t="shared" si="0"/>
        <v>860978084.66999996</v>
      </c>
      <c r="F5" s="16">
        <f t="shared" si="0"/>
        <v>828462.58061999991</v>
      </c>
      <c r="G5" s="16">
        <f t="shared" si="0"/>
        <v>8.0620000002749492E-2</v>
      </c>
      <c r="H5" s="16">
        <f t="shared" si="0"/>
        <v>609278</v>
      </c>
      <c r="I5" s="16">
        <f t="shared" si="0"/>
        <v>836100</v>
      </c>
      <c r="J5" s="16">
        <f t="shared" si="0"/>
        <v>696541</v>
      </c>
      <c r="K5" s="130">
        <f t="shared" si="0"/>
        <v>545714</v>
      </c>
      <c r="L5" s="137">
        <f>L6+L58</f>
        <v>965809073.66999996</v>
      </c>
      <c r="M5" s="137">
        <f t="shared" ref="M5:Q5" si="1">M6-M58</f>
        <v>927422359.66999996</v>
      </c>
      <c r="N5" s="137">
        <f t="shared" si="1"/>
        <v>417935</v>
      </c>
      <c r="O5" s="137"/>
      <c r="P5" s="137"/>
      <c r="Q5" s="137">
        <f t="shared" si="1"/>
        <v>982846560.78999996</v>
      </c>
      <c r="R5" s="137">
        <f t="shared" ref="R5" si="2">R6-R58</f>
        <v>964095000</v>
      </c>
      <c r="S5" s="137">
        <f t="shared" si="0"/>
        <v>990778858.12</v>
      </c>
      <c r="T5" s="137">
        <f t="shared" ref="T5:U5" si="3">T6-T58</f>
        <v>958094000</v>
      </c>
      <c r="U5" s="137">
        <f t="shared" si="3"/>
        <v>1038642000</v>
      </c>
      <c r="V5" s="168"/>
      <c r="W5" s="23">
        <f t="shared" ref="W5:AB5" si="4">W6-W58</f>
        <v>97409865.039999992</v>
      </c>
      <c r="X5" s="110">
        <f t="shared" si="4"/>
        <v>868275208.63</v>
      </c>
      <c r="Y5" s="23">
        <f t="shared" si="4"/>
        <v>93405098.919999987</v>
      </c>
      <c r="Z5" s="110">
        <f t="shared" si="4"/>
        <v>889441461.87</v>
      </c>
      <c r="AA5" s="23">
        <f t="shared" si="4"/>
        <v>121667184.88</v>
      </c>
      <c r="AB5" s="110">
        <f t="shared" si="4"/>
        <v>869111673.24000001</v>
      </c>
    </row>
    <row r="6" spans="1:28" x14ac:dyDescent="0.3">
      <c r="A6" s="134" t="s">
        <v>22</v>
      </c>
      <c r="B6" s="136" t="s">
        <v>23</v>
      </c>
      <c r="C6" s="16">
        <f>C10+C36+C57+C7+C58</f>
        <v>864721.7</v>
      </c>
      <c r="D6" s="16">
        <f>D10+D36+D57+D7+D58</f>
        <v>360</v>
      </c>
      <c r="E6" s="16">
        <f>E10+E36+E57+E7+E58</f>
        <v>864721718.66999996</v>
      </c>
      <c r="F6" s="16">
        <f>F10+F36+F57+F7+F58</f>
        <v>832206.21461999987</v>
      </c>
      <c r="G6" s="16">
        <f>G10+G36+G57+G7+G58</f>
        <v>0.11462000000285499</v>
      </c>
      <c r="H6" s="16">
        <f>H10+H36+H57+H7+H58+H56</f>
        <v>609278</v>
      </c>
      <c r="I6" s="16">
        <f>I10+I36+I57+I7+I58+I56</f>
        <v>836100</v>
      </c>
      <c r="J6" s="16">
        <f>J10+J36+J57+J7+J58+J56</f>
        <v>696541</v>
      </c>
      <c r="K6" s="130">
        <f>K36</f>
        <v>545714</v>
      </c>
      <c r="L6" s="137">
        <f>L10+L36+L57+L7+L56+L54</f>
        <v>965685073.66999996</v>
      </c>
      <c r="M6" s="137">
        <f t="shared" ref="M6" si="5">M10+M36+M57+M7+M58+M56+M54</f>
        <v>927422359.66999996</v>
      </c>
      <c r="N6" s="137">
        <f t="shared" ref="N6" si="6">N10+N36+N57+N7+N58+N56+N54</f>
        <v>417935</v>
      </c>
      <c r="O6" s="137"/>
      <c r="P6" s="137"/>
      <c r="Q6" s="137">
        <f t="shared" ref="Q6" si="7">Q10+Q36+Q57+Q7+Q58+Q56+Q54</f>
        <v>982846560.78999996</v>
      </c>
      <c r="R6" s="137">
        <f>R10+R36+R57+R7+R58+R56+R54</f>
        <v>964095000</v>
      </c>
      <c r="S6" s="137">
        <f t="shared" ref="S6:U6" si="8">S10+S36+S57+S7+S58+S56+S54</f>
        <v>990778858.12</v>
      </c>
      <c r="T6" s="137">
        <f t="shared" si="8"/>
        <v>958094000</v>
      </c>
      <c r="U6" s="137">
        <f t="shared" si="8"/>
        <v>1038642000</v>
      </c>
      <c r="V6" s="168"/>
      <c r="W6" s="137">
        <f t="shared" ref="W6" si="9">W10+W36+W57+W7+W58+W56+W54</f>
        <v>97409865.039999992</v>
      </c>
      <c r="X6" s="137">
        <f t="shared" ref="X6" si="10">X10+X36+X57+X7+X58+X56+X54</f>
        <v>868275208.63</v>
      </c>
      <c r="Y6" s="137">
        <f t="shared" ref="Y6" si="11">Y10+Y36+Y57+Y7+Y58+Y56+Y54</f>
        <v>93405098.919999987</v>
      </c>
      <c r="Z6" s="137">
        <f t="shared" ref="Z6" si="12">Z10+Z36+Z57+Z7+Z58+Z56+Z54</f>
        <v>889441461.87</v>
      </c>
      <c r="AA6" s="137">
        <f t="shared" ref="AA6" si="13">AA10+AA36+AA57+AA7+AA58+AA56+AA54</f>
        <v>121667184.88</v>
      </c>
      <c r="AB6" s="137">
        <f t="shared" ref="AB6" si="14">AB10+AB36+AB57+AB7+AB58+AB56+AB54</f>
        <v>869111673.24000001</v>
      </c>
    </row>
    <row r="7" spans="1:28" x14ac:dyDescent="0.3">
      <c r="A7" s="134" t="s">
        <v>36</v>
      </c>
      <c r="B7" s="136" t="s">
        <v>26</v>
      </c>
      <c r="C7" s="16">
        <f>C9</f>
        <v>34649</v>
      </c>
      <c r="D7" s="16">
        <f>D9</f>
        <v>0</v>
      </c>
      <c r="E7" s="16">
        <f>E9</f>
        <v>34649000</v>
      </c>
      <c r="F7" s="16">
        <f>F9</f>
        <v>34649</v>
      </c>
      <c r="G7" s="16">
        <f>G9</f>
        <v>0</v>
      </c>
      <c r="H7" s="16">
        <f t="shared" ref="H7:K7" si="15">H9+H8</f>
        <v>1186</v>
      </c>
      <c r="I7" s="16">
        <f t="shared" si="15"/>
        <v>1823</v>
      </c>
      <c r="J7" s="16">
        <f t="shared" si="15"/>
        <v>0</v>
      </c>
      <c r="K7" s="130">
        <f t="shared" si="15"/>
        <v>0</v>
      </c>
      <c r="L7" s="151">
        <f t="shared" ref="L7:L8" si="16">W7+X7</f>
        <v>26214000</v>
      </c>
      <c r="M7" s="25">
        <f t="shared" ref="M7:U7" si="17">M8+M9</f>
        <v>26214000</v>
      </c>
      <c r="N7" s="25">
        <f t="shared" si="17"/>
        <v>0</v>
      </c>
      <c r="O7" s="25"/>
      <c r="P7" s="25"/>
      <c r="Q7" s="137">
        <f t="shared" si="17"/>
        <v>0</v>
      </c>
      <c r="R7" s="137">
        <f t="shared" si="17"/>
        <v>0</v>
      </c>
      <c r="S7" s="137">
        <f t="shared" si="17"/>
        <v>0</v>
      </c>
      <c r="T7" s="137">
        <f t="shared" si="17"/>
        <v>0</v>
      </c>
      <c r="U7" s="137">
        <f t="shared" si="17"/>
        <v>0</v>
      </c>
      <c r="V7" s="169">
        <v>906</v>
      </c>
      <c r="W7" s="24">
        <f t="shared" ref="W7:AB7" si="18">W9+W8</f>
        <v>0</v>
      </c>
      <c r="X7" s="110">
        <f>X8</f>
        <v>26214000</v>
      </c>
      <c r="Y7" s="24">
        <f t="shared" si="18"/>
        <v>0</v>
      </c>
      <c r="Z7" s="110">
        <f t="shared" si="18"/>
        <v>0</v>
      </c>
      <c r="AA7" s="24">
        <f t="shared" si="18"/>
        <v>0</v>
      </c>
      <c r="AB7" s="110">
        <f t="shared" si="18"/>
        <v>0</v>
      </c>
    </row>
    <row r="8" spans="1:28" x14ac:dyDescent="0.3">
      <c r="A8" s="160" t="s">
        <v>76</v>
      </c>
      <c r="B8" s="163" t="s">
        <v>75</v>
      </c>
      <c r="C8" s="16"/>
      <c r="D8" s="16"/>
      <c r="E8" s="16"/>
      <c r="F8" s="125"/>
      <c r="G8" s="125"/>
      <c r="H8" s="114">
        <v>1186</v>
      </c>
      <c r="I8" s="114">
        <v>1186</v>
      </c>
      <c r="J8" s="16"/>
      <c r="K8" s="130">
        <v>0</v>
      </c>
      <c r="L8" s="151">
        <f t="shared" si="16"/>
        <v>26214000</v>
      </c>
      <c r="M8" s="65">
        <f t="shared" ref="M8:M9" si="19">L8-K8</f>
        <v>26214000</v>
      </c>
      <c r="N8" s="25">
        <v>0</v>
      </c>
      <c r="O8" s="25"/>
      <c r="P8" s="25"/>
      <c r="Q8" s="137">
        <v>0</v>
      </c>
      <c r="R8" s="137"/>
      <c r="S8" s="137">
        <v>0</v>
      </c>
      <c r="T8" s="137"/>
      <c r="U8" s="137"/>
      <c r="V8" s="169">
        <v>906</v>
      </c>
      <c r="W8" s="63"/>
      <c r="X8" s="147">
        <v>26214000</v>
      </c>
      <c r="Y8" s="63"/>
      <c r="Z8" s="105"/>
      <c r="AA8" s="63"/>
      <c r="AB8" s="105"/>
    </row>
    <row r="9" spans="1:28" ht="16.95" hidden="1" customHeight="1" x14ac:dyDescent="0.3">
      <c r="A9" s="115" t="s">
        <v>77</v>
      </c>
      <c r="B9" s="30" t="s">
        <v>27</v>
      </c>
      <c r="C9" s="16">
        <f>9649+25000</f>
        <v>34649</v>
      </c>
      <c r="D9" s="16"/>
      <c r="E9" s="25">
        <f>9649000+25000000</f>
        <v>34649000</v>
      </c>
      <c r="F9" s="116">
        <f t="shared" ref="F9:F57" si="20">E9/1000</f>
        <v>34649</v>
      </c>
      <c r="G9" s="116">
        <f t="shared" ref="G9:G57" si="21">F9-C9</f>
        <v>0</v>
      </c>
      <c r="H9" s="114"/>
      <c r="I9" s="114">
        <v>637</v>
      </c>
      <c r="J9" s="114">
        <v>0</v>
      </c>
      <c r="K9" s="131">
        <v>0</v>
      </c>
      <c r="L9" s="151">
        <f>W9+X9</f>
        <v>0</v>
      </c>
      <c r="M9" s="65">
        <f t="shared" si="19"/>
        <v>0</v>
      </c>
      <c r="N9" s="65">
        <v>0</v>
      </c>
      <c r="O9" s="65"/>
      <c r="P9" s="65"/>
      <c r="Q9" s="151">
        <f>Y9+Z9</f>
        <v>0</v>
      </c>
      <c r="R9" s="151"/>
      <c r="S9" s="151">
        <f>AA9+AB9</f>
        <v>0</v>
      </c>
      <c r="T9" s="151"/>
      <c r="U9" s="151"/>
      <c r="V9" s="169"/>
      <c r="W9" s="63"/>
      <c r="X9" s="111"/>
      <c r="Y9" s="63"/>
      <c r="Z9" s="105"/>
      <c r="AA9" s="63"/>
      <c r="AB9" s="105"/>
    </row>
    <row r="10" spans="1:28" ht="15.6" customHeight="1" x14ac:dyDescent="0.3">
      <c r="A10" s="134" t="s">
        <v>37</v>
      </c>
      <c r="B10" s="136" t="s">
        <v>25</v>
      </c>
      <c r="C10" s="16">
        <f t="shared" ref="C10:J10" si="22">SUM(C11:C24)</f>
        <v>99365.099999999991</v>
      </c>
      <c r="D10" s="16">
        <f t="shared" si="22"/>
        <v>0</v>
      </c>
      <c r="E10" s="16">
        <f t="shared" si="22"/>
        <v>99365090.670000002</v>
      </c>
      <c r="F10" s="16">
        <f t="shared" si="22"/>
        <v>66849.586620000002</v>
      </c>
      <c r="G10" s="16">
        <f t="shared" si="22"/>
        <v>8.6620000003062358E-2</v>
      </c>
      <c r="H10" s="16">
        <f t="shared" si="22"/>
        <v>0</v>
      </c>
      <c r="I10" s="16">
        <f>SUM(I11:I24)</f>
        <v>59336</v>
      </c>
      <c r="J10" s="16">
        <f t="shared" si="22"/>
        <v>0</v>
      </c>
      <c r="K10" s="130">
        <v>0</v>
      </c>
      <c r="L10" s="137">
        <f>SUM(L11:L24)</f>
        <v>88311273.670000002</v>
      </c>
      <c r="M10" s="137">
        <f t="shared" ref="M10:U10" si="23">SUM(M11:M24)</f>
        <v>88301273.670000002</v>
      </c>
      <c r="N10" s="137">
        <f t="shared" si="23"/>
        <v>2</v>
      </c>
      <c r="O10" s="137"/>
      <c r="P10" s="137"/>
      <c r="Q10" s="137">
        <f t="shared" si="23"/>
        <v>91677160.789999992</v>
      </c>
      <c r="R10" s="137">
        <f t="shared" si="23"/>
        <v>0</v>
      </c>
      <c r="S10" s="137">
        <f t="shared" si="23"/>
        <v>119977858.12000002</v>
      </c>
      <c r="T10" s="137">
        <f>SUM(T11:T24)</f>
        <v>0</v>
      </c>
      <c r="U10" s="137">
        <f t="shared" si="23"/>
        <v>0</v>
      </c>
      <c r="V10" s="169"/>
      <c r="W10" s="110">
        <f>SUM(W11:W24)</f>
        <v>56230065.039999999</v>
      </c>
      <c r="X10" s="110">
        <f>SUM(X11:X24)</f>
        <v>32081208.629999999</v>
      </c>
      <c r="Y10" s="26">
        <f t="shared" ref="Y10:AB10" si="24">SUM(Y11:Y24)</f>
        <v>51023698.919999994</v>
      </c>
      <c r="Z10" s="110">
        <f t="shared" si="24"/>
        <v>40653461.869999997</v>
      </c>
      <c r="AA10" s="26">
        <f t="shared" si="24"/>
        <v>76755184.879999995</v>
      </c>
      <c r="AB10" s="110">
        <f t="shared" si="24"/>
        <v>43222673.240000002</v>
      </c>
    </row>
    <row r="11" spans="1:28" ht="37.200000000000003" customHeight="1" x14ac:dyDescent="0.3">
      <c r="A11" s="115" t="s">
        <v>66</v>
      </c>
      <c r="B11" s="30" t="s">
        <v>19</v>
      </c>
      <c r="C11" s="16">
        <v>29411</v>
      </c>
      <c r="D11" s="16"/>
      <c r="E11" s="25">
        <v>29411000</v>
      </c>
      <c r="F11" s="116">
        <f t="shared" si="20"/>
        <v>29411</v>
      </c>
      <c r="G11" s="116">
        <f t="shared" si="21"/>
        <v>0</v>
      </c>
      <c r="H11" s="114"/>
      <c r="I11" s="114">
        <v>23860</v>
      </c>
      <c r="J11" s="114"/>
      <c r="K11" s="131">
        <v>0</v>
      </c>
      <c r="L11" s="151">
        <f t="shared" ref="L11:L23" si="25">W11+X11</f>
        <v>23000000</v>
      </c>
      <c r="M11" s="65">
        <f t="shared" ref="M11:M35" si="26">L11-K11</f>
        <v>23000000</v>
      </c>
      <c r="N11" s="65">
        <v>0</v>
      </c>
      <c r="O11" s="65"/>
      <c r="P11" s="65"/>
      <c r="Q11" s="151">
        <f t="shared" ref="Q11:Q23" si="27">Y11+Z11</f>
        <v>30000000</v>
      </c>
      <c r="R11" s="151"/>
      <c r="S11" s="151">
        <f t="shared" ref="S11:S23" si="28">AA11+AB11</f>
        <v>30000000</v>
      </c>
      <c r="T11" s="151"/>
      <c r="U11" s="151"/>
      <c r="V11" s="169">
        <v>905</v>
      </c>
      <c r="W11" s="63"/>
      <c r="X11" s="111">
        <v>23000000</v>
      </c>
      <c r="Y11" s="63"/>
      <c r="Z11" s="111">
        <v>30000000</v>
      </c>
      <c r="AA11" s="63"/>
      <c r="AB11" s="111">
        <v>30000000</v>
      </c>
    </row>
    <row r="12" spans="1:28" ht="27" customHeight="1" x14ac:dyDescent="0.3">
      <c r="A12" s="115" t="s">
        <v>118</v>
      </c>
      <c r="B12" s="30" t="s">
        <v>119</v>
      </c>
      <c r="C12" s="16"/>
      <c r="D12" s="16"/>
      <c r="E12" s="25"/>
      <c r="F12" s="116"/>
      <c r="G12" s="116"/>
      <c r="H12" s="114"/>
      <c r="I12" s="114">
        <v>0</v>
      </c>
      <c r="J12" s="114"/>
      <c r="K12" s="131">
        <v>0</v>
      </c>
      <c r="L12" s="151">
        <f t="shared" si="25"/>
        <v>0</v>
      </c>
      <c r="M12" s="65">
        <f t="shared" si="26"/>
        <v>0</v>
      </c>
      <c r="N12" s="65">
        <v>0</v>
      </c>
      <c r="O12" s="65"/>
      <c r="P12" s="65"/>
      <c r="Q12" s="151">
        <f t="shared" si="27"/>
        <v>1471000</v>
      </c>
      <c r="R12" s="151"/>
      <c r="S12" s="151">
        <f t="shared" si="28"/>
        <v>2500000</v>
      </c>
      <c r="T12" s="151"/>
      <c r="U12" s="151"/>
      <c r="V12" s="169">
        <v>905</v>
      </c>
      <c r="W12" s="63"/>
      <c r="X12" s="151"/>
      <c r="Y12" s="63"/>
      <c r="Z12" s="151">
        <v>1471000</v>
      </c>
      <c r="AA12" s="63"/>
      <c r="AB12" s="151">
        <v>2500000</v>
      </c>
    </row>
    <row r="13" spans="1:28" ht="90" hidden="1" customHeight="1" x14ac:dyDescent="0.3">
      <c r="A13" s="115" t="s">
        <v>51</v>
      </c>
      <c r="B13" s="117" t="s">
        <v>52</v>
      </c>
      <c r="C13" s="16">
        <v>30453.9</v>
      </c>
      <c r="D13" s="16"/>
      <c r="E13" s="25">
        <v>30453878.91</v>
      </c>
      <c r="F13" s="116"/>
      <c r="G13" s="116"/>
      <c r="H13" s="114"/>
      <c r="I13" s="114"/>
      <c r="J13" s="114"/>
      <c r="K13" s="131"/>
      <c r="L13" s="151">
        <f t="shared" si="25"/>
        <v>0</v>
      </c>
      <c r="M13" s="65">
        <f t="shared" si="26"/>
        <v>0</v>
      </c>
      <c r="N13" s="65">
        <v>0</v>
      </c>
      <c r="O13" s="65"/>
      <c r="P13" s="65"/>
      <c r="Q13" s="151">
        <f t="shared" si="27"/>
        <v>0</v>
      </c>
      <c r="R13" s="151"/>
      <c r="S13" s="151">
        <f t="shared" si="28"/>
        <v>0</v>
      </c>
      <c r="T13" s="151"/>
      <c r="U13" s="151"/>
      <c r="V13" s="169"/>
      <c r="W13" s="63"/>
      <c r="X13" s="105"/>
      <c r="Y13" s="63"/>
      <c r="Z13" s="105"/>
      <c r="AA13" s="63"/>
      <c r="AB13" s="105"/>
    </row>
    <row r="14" spans="1:28" ht="69.599999999999994" hidden="1" customHeight="1" x14ac:dyDescent="0.3">
      <c r="A14" s="115"/>
      <c r="B14" s="117" t="s">
        <v>54</v>
      </c>
      <c r="C14" s="16">
        <v>212.2</v>
      </c>
      <c r="D14" s="16"/>
      <c r="E14" s="25">
        <v>212168.14</v>
      </c>
      <c r="F14" s="116"/>
      <c r="G14" s="116"/>
      <c r="H14" s="114"/>
      <c r="I14" s="114"/>
      <c r="J14" s="114"/>
      <c r="K14" s="131"/>
      <c r="L14" s="151">
        <f t="shared" si="25"/>
        <v>0</v>
      </c>
      <c r="M14" s="65">
        <f t="shared" si="26"/>
        <v>0</v>
      </c>
      <c r="N14" s="65">
        <v>0</v>
      </c>
      <c r="O14" s="65"/>
      <c r="P14" s="65"/>
      <c r="Q14" s="151">
        <f t="shared" si="27"/>
        <v>0</v>
      </c>
      <c r="R14" s="151"/>
      <c r="S14" s="151">
        <f t="shared" si="28"/>
        <v>0</v>
      </c>
      <c r="T14" s="151"/>
      <c r="U14" s="151"/>
      <c r="V14" s="169"/>
      <c r="W14" s="63"/>
      <c r="X14" s="105"/>
      <c r="Y14" s="63"/>
      <c r="Z14" s="105"/>
      <c r="AA14" s="63"/>
      <c r="AB14" s="105"/>
    </row>
    <row r="15" spans="1:28" ht="25.95" customHeight="1" x14ac:dyDescent="0.3">
      <c r="A15" s="115" t="s">
        <v>68</v>
      </c>
      <c r="B15" s="118" t="s">
        <v>69</v>
      </c>
      <c r="C15" s="25"/>
      <c r="D15" s="25"/>
      <c r="E15" s="25"/>
      <c r="F15" s="116"/>
      <c r="G15" s="116"/>
      <c r="H15" s="114"/>
      <c r="I15" s="114">
        <v>0</v>
      </c>
      <c r="J15" s="114"/>
      <c r="K15" s="131">
        <v>0</v>
      </c>
      <c r="L15" s="151">
        <f t="shared" si="25"/>
        <v>0</v>
      </c>
      <c r="M15" s="65">
        <f t="shared" si="26"/>
        <v>0</v>
      </c>
      <c r="N15" s="65">
        <v>0</v>
      </c>
      <c r="O15" s="65"/>
      <c r="P15" s="65"/>
      <c r="Q15" s="151">
        <f t="shared" si="27"/>
        <v>0</v>
      </c>
      <c r="R15" s="151"/>
      <c r="S15" s="151">
        <f t="shared" si="28"/>
        <v>11422109.99</v>
      </c>
      <c r="T15" s="151"/>
      <c r="U15" s="151"/>
      <c r="V15" s="169">
        <v>906</v>
      </c>
      <c r="W15" s="63"/>
      <c r="X15" s="105"/>
      <c r="Y15" s="63"/>
      <c r="Z15" s="105"/>
      <c r="AA15" s="77">
        <v>11307888.880000001</v>
      </c>
      <c r="AB15" s="148">
        <v>114221.11</v>
      </c>
    </row>
    <row r="16" spans="1:28" ht="40.200000000000003" customHeight="1" x14ac:dyDescent="0.3">
      <c r="A16" s="115" t="s">
        <v>85</v>
      </c>
      <c r="B16" s="159" t="s">
        <v>99</v>
      </c>
      <c r="C16" s="16"/>
      <c r="D16" s="16"/>
      <c r="E16" s="25"/>
      <c r="F16" s="116"/>
      <c r="G16" s="116"/>
      <c r="H16" s="114"/>
      <c r="I16" s="114">
        <v>0</v>
      </c>
      <c r="J16" s="114"/>
      <c r="K16" s="131">
        <v>0</v>
      </c>
      <c r="L16" s="151">
        <f>W16+X16</f>
        <v>1002800</v>
      </c>
      <c r="M16" s="65">
        <f t="shared" si="26"/>
        <v>1002800</v>
      </c>
      <c r="N16" s="65">
        <v>0</v>
      </c>
      <c r="O16" s="65"/>
      <c r="P16" s="65"/>
      <c r="Q16" s="151">
        <f t="shared" si="27"/>
        <v>437200</v>
      </c>
      <c r="R16" s="151"/>
      <c r="S16" s="151">
        <f t="shared" si="28"/>
        <v>0</v>
      </c>
      <c r="T16" s="151"/>
      <c r="U16" s="151"/>
      <c r="V16" s="169">
        <v>905</v>
      </c>
      <c r="W16" s="77">
        <v>901800</v>
      </c>
      <c r="X16" s="148">
        <v>101000</v>
      </c>
      <c r="Y16" s="77">
        <v>393500</v>
      </c>
      <c r="Z16" s="148">
        <v>43700</v>
      </c>
      <c r="AA16" s="63"/>
      <c r="AB16" s="105"/>
    </row>
    <row r="17" spans="1:28" ht="40.200000000000003" customHeight="1" x14ac:dyDescent="0.3">
      <c r="A17" s="115" t="s">
        <v>132</v>
      </c>
      <c r="B17" s="142" t="s">
        <v>133</v>
      </c>
      <c r="C17" s="16"/>
      <c r="D17" s="16"/>
      <c r="E17" s="25"/>
      <c r="F17" s="116"/>
      <c r="G17" s="116"/>
      <c r="H17" s="114"/>
      <c r="I17" s="114"/>
      <c r="J17" s="114"/>
      <c r="K17" s="131"/>
      <c r="L17" s="151">
        <f t="shared" ref="L17" si="29">W17+X17</f>
        <v>0</v>
      </c>
      <c r="M17" s="65">
        <f t="shared" ref="M17" si="30">L17-K17</f>
        <v>0</v>
      </c>
      <c r="N17" s="65">
        <v>1</v>
      </c>
      <c r="O17" s="65"/>
      <c r="P17" s="65"/>
      <c r="Q17" s="151">
        <f t="shared" ref="Q17" si="31">Y17+Z17</f>
        <v>0</v>
      </c>
      <c r="R17" s="151"/>
      <c r="S17" s="151">
        <f t="shared" ref="S17" si="32">AA17+AB17</f>
        <v>12000000</v>
      </c>
      <c r="T17" s="151"/>
      <c r="U17" s="151"/>
      <c r="V17" s="169">
        <v>906</v>
      </c>
      <c r="W17" s="63"/>
      <c r="X17" s="105"/>
      <c r="Y17" s="63"/>
      <c r="Z17" s="105"/>
      <c r="AA17" s="77">
        <v>11880000</v>
      </c>
      <c r="AB17" s="148">
        <v>120000</v>
      </c>
    </row>
    <row r="18" spans="1:28" ht="35.4" customHeight="1" x14ac:dyDescent="0.3">
      <c r="A18" s="115" t="s">
        <v>112</v>
      </c>
      <c r="B18" s="136" t="s">
        <v>113</v>
      </c>
      <c r="C18" s="16"/>
      <c r="D18" s="16"/>
      <c r="E18" s="25"/>
      <c r="F18" s="116"/>
      <c r="G18" s="116"/>
      <c r="H18" s="114"/>
      <c r="I18" s="114"/>
      <c r="J18" s="114"/>
      <c r="K18" s="131">
        <v>0</v>
      </c>
      <c r="L18" s="151">
        <f t="shared" si="25"/>
        <v>38569434</v>
      </c>
      <c r="M18" s="65">
        <f t="shared" si="26"/>
        <v>38569434</v>
      </c>
      <c r="N18" s="65">
        <v>1</v>
      </c>
      <c r="O18" s="65"/>
      <c r="P18" s="65"/>
      <c r="Q18" s="151">
        <f t="shared" si="27"/>
        <v>36323037</v>
      </c>
      <c r="R18" s="151"/>
      <c r="S18" s="151">
        <f t="shared" si="28"/>
        <v>37343133</v>
      </c>
      <c r="T18" s="151"/>
      <c r="U18" s="151"/>
      <c r="V18" s="169">
        <v>906</v>
      </c>
      <c r="W18" s="77">
        <v>34712491</v>
      </c>
      <c r="X18" s="148">
        <v>3856943</v>
      </c>
      <c r="Y18" s="77">
        <v>32690733</v>
      </c>
      <c r="Z18" s="148">
        <v>3632304</v>
      </c>
      <c r="AA18" s="77">
        <v>33608820</v>
      </c>
      <c r="AB18" s="148">
        <v>3734313</v>
      </c>
    </row>
    <row r="19" spans="1:28" ht="28.95" customHeight="1" x14ac:dyDescent="0.3">
      <c r="A19" s="119" t="s">
        <v>41</v>
      </c>
      <c r="B19" s="40" t="s">
        <v>70</v>
      </c>
      <c r="C19" s="25">
        <v>1770.5</v>
      </c>
      <c r="D19" s="25"/>
      <c r="E19" s="25">
        <v>1770457</v>
      </c>
      <c r="F19" s="116"/>
      <c r="G19" s="116"/>
      <c r="H19" s="114"/>
      <c r="I19" s="114">
        <v>2906</v>
      </c>
      <c r="J19" s="114"/>
      <c r="K19" s="131">
        <v>0</v>
      </c>
      <c r="L19" s="151">
        <f t="shared" si="25"/>
        <v>1337743.5999999999</v>
      </c>
      <c r="M19" s="65">
        <f t="shared" si="26"/>
        <v>1337743.5999999999</v>
      </c>
      <c r="N19" s="65">
        <v>0</v>
      </c>
      <c r="O19" s="65"/>
      <c r="P19" s="65"/>
      <c r="Q19" s="151">
        <f t="shared" si="27"/>
        <v>1380921.05</v>
      </c>
      <c r="R19" s="151"/>
      <c r="S19" s="151">
        <f t="shared" si="28"/>
        <v>1581166.04</v>
      </c>
      <c r="T19" s="151"/>
      <c r="U19" s="151"/>
      <c r="V19" s="169">
        <v>902</v>
      </c>
      <c r="W19" s="77">
        <v>1060634.92</v>
      </c>
      <c r="X19" s="148">
        <v>277108.68</v>
      </c>
      <c r="Y19" s="77">
        <v>1094794.05</v>
      </c>
      <c r="Z19" s="148">
        <v>286127</v>
      </c>
      <c r="AA19" s="77">
        <v>1250281.25</v>
      </c>
      <c r="AB19" s="148">
        <v>330884.78999999998</v>
      </c>
    </row>
    <row r="20" spans="1:28" x14ac:dyDescent="0.3">
      <c r="A20" s="160" t="s">
        <v>38</v>
      </c>
      <c r="B20" s="144" t="s">
        <v>131</v>
      </c>
      <c r="C20" s="16">
        <v>19.2</v>
      </c>
      <c r="D20" s="16"/>
      <c r="E20" s="25">
        <v>19200</v>
      </c>
      <c r="F20" s="116">
        <f>E20/1000</f>
        <v>19.2</v>
      </c>
      <c r="G20" s="116">
        <f>F20-C20</f>
        <v>0</v>
      </c>
      <c r="H20" s="114"/>
      <c r="I20" s="114">
        <v>4024.2</v>
      </c>
      <c r="J20" s="114"/>
      <c r="K20" s="131">
        <v>0</v>
      </c>
      <c r="L20" s="151">
        <f t="shared" si="25"/>
        <v>8683217</v>
      </c>
      <c r="M20" s="65">
        <f t="shared" si="26"/>
        <v>8683217</v>
      </c>
      <c r="N20" s="65">
        <v>0</v>
      </c>
      <c r="O20" s="65"/>
      <c r="P20" s="65"/>
      <c r="Q20" s="151">
        <f>Y20+Z20</f>
        <v>80995</v>
      </c>
      <c r="R20" s="151"/>
      <c r="S20" s="151">
        <f t="shared" si="28"/>
        <v>80995</v>
      </c>
      <c r="T20" s="151"/>
      <c r="U20" s="151"/>
      <c r="V20" s="169">
        <v>907</v>
      </c>
      <c r="W20" s="77">
        <f>7742000+72896</f>
        <v>7814896</v>
      </c>
      <c r="X20" s="148">
        <f>860222+8099</f>
        <v>868321</v>
      </c>
      <c r="Y20" s="77">
        <v>72896</v>
      </c>
      <c r="Z20" s="148">
        <v>8099</v>
      </c>
      <c r="AA20" s="77">
        <v>72896</v>
      </c>
      <c r="AB20" s="148">
        <v>8099</v>
      </c>
    </row>
    <row r="21" spans="1:28" ht="86.4" hidden="1" customHeight="1" x14ac:dyDescent="0.3">
      <c r="A21" s="115" t="s">
        <v>78</v>
      </c>
      <c r="B21" s="118" t="s">
        <v>125</v>
      </c>
      <c r="C21" s="25">
        <v>10592.8</v>
      </c>
      <c r="D21" s="25"/>
      <c r="E21" s="25">
        <v>10592830</v>
      </c>
      <c r="F21" s="116">
        <f>E21/1000</f>
        <v>10592.83</v>
      </c>
      <c r="G21" s="116">
        <f>F21-C21</f>
        <v>3.0000000000654836E-2</v>
      </c>
      <c r="H21" s="114"/>
      <c r="I21" s="114">
        <v>5000</v>
      </c>
      <c r="J21" s="114"/>
      <c r="K21" s="131">
        <v>10000</v>
      </c>
      <c r="L21" s="151">
        <f t="shared" si="25"/>
        <v>0</v>
      </c>
      <c r="M21" s="65">
        <f t="shared" si="26"/>
        <v>-10000</v>
      </c>
      <c r="N21" s="65">
        <v>0</v>
      </c>
      <c r="O21" s="65"/>
      <c r="P21" s="65"/>
      <c r="Q21" s="151">
        <f t="shared" si="27"/>
        <v>0</v>
      </c>
      <c r="R21" s="151"/>
      <c r="S21" s="151">
        <f t="shared" si="28"/>
        <v>0</v>
      </c>
      <c r="T21" s="151"/>
      <c r="U21" s="151"/>
      <c r="V21" s="169" t="s">
        <v>61</v>
      </c>
      <c r="W21" s="63"/>
      <c r="X21" s="105"/>
      <c r="Y21" s="63"/>
      <c r="Z21" s="105"/>
      <c r="AA21" s="63"/>
      <c r="AB21" s="105"/>
    </row>
    <row r="22" spans="1:28" ht="21.6" customHeight="1" x14ac:dyDescent="0.3">
      <c r="A22" s="160" t="s">
        <v>39</v>
      </c>
      <c r="B22" s="30" t="s">
        <v>59</v>
      </c>
      <c r="C22" s="25">
        <v>19852.8</v>
      </c>
      <c r="D22" s="25"/>
      <c r="E22" s="25">
        <v>19852840.23</v>
      </c>
      <c r="F22" s="116">
        <f t="shared" si="20"/>
        <v>19852.840230000002</v>
      </c>
      <c r="G22" s="116">
        <f t="shared" si="21"/>
        <v>4.0230000002338784E-2</v>
      </c>
      <c r="H22" s="114"/>
      <c r="I22" s="114">
        <v>17176</v>
      </c>
      <c r="J22" s="114"/>
      <c r="K22" s="131">
        <v>0</v>
      </c>
      <c r="L22" s="151">
        <f t="shared" si="25"/>
        <v>11858831.43</v>
      </c>
      <c r="M22" s="65">
        <f t="shared" si="26"/>
        <v>11858831.43</v>
      </c>
      <c r="N22" s="65">
        <v>0</v>
      </c>
      <c r="O22" s="65"/>
      <c r="P22" s="65"/>
      <c r="Q22" s="151">
        <f>Y22+Z22</f>
        <v>16941187.739999998</v>
      </c>
      <c r="R22" s="151"/>
      <c r="S22" s="151">
        <f t="shared" si="28"/>
        <v>18823534.09</v>
      </c>
      <c r="T22" s="151"/>
      <c r="U22" s="151"/>
      <c r="V22" s="169">
        <v>905</v>
      </c>
      <c r="W22" s="157">
        <v>11740243.119999999</v>
      </c>
      <c r="X22" s="148">
        <v>118588.31</v>
      </c>
      <c r="Y22" s="77">
        <v>16771775.869999999</v>
      </c>
      <c r="Z22" s="148">
        <v>169411.87</v>
      </c>
      <c r="AA22" s="77">
        <v>18635298.75</v>
      </c>
      <c r="AB22" s="148">
        <v>188235.34</v>
      </c>
    </row>
    <row r="23" spans="1:28" ht="24.6" hidden="1" x14ac:dyDescent="0.3">
      <c r="A23" s="119" t="s">
        <v>40</v>
      </c>
      <c r="B23" s="120" t="s">
        <v>24</v>
      </c>
      <c r="C23" s="25"/>
      <c r="D23" s="25"/>
      <c r="E23" s="25"/>
      <c r="F23" s="116">
        <f t="shared" si="20"/>
        <v>0</v>
      </c>
      <c r="G23" s="116">
        <f t="shared" si="21"/>
        <v>0</v>
      </c>
      <c r="H23" s="114"/>
      <c r="I23" s="114"/>
      <c r="J23" s="114"/>
      <c r="K23" s="131">
        <v>0</v>
      </c>
      <c r="L23" s="151">
        <f t="shared" si="25"/>
        <v>0</v>
      </c>
      <c r="M23" s="65">
        <f t="shared" si="26"/>
        <v>0</v>
      </c>
      <c r="N23" s="65">
        <v>0</v>
      </c>
      <c r="O23" s="65"/>
      <c r="P23" s="65"/>
      <c r="Q23" s="151">
        <f t="shared" si="27"/>
        <v>0</v>
      </c>
      <c r="R23" s="151"/>
      <c r="S23" s="151">
        <f t="shared" si="28"/>
        <v>0</v>
      </c>
      <c r="T23" s="151"/>
      <c r="U23" s="151"/>
      <c r="V23" s="169"/>
      <c r="W23" s="63"/>
      <c r="X23" s="105"/>
      <c r="Y23" s="63"/>
      <c r="Z23" s="105"/>
      <c r="AA23" s="63"/>
      <c r="AB23" s="105"/>
    </row>
    <row r="24" spans="1:28" x14ac:dyDescent="0.3">
      <c r="A24" s="162" t="s">
        <v>42</v>
      </c>
      <c r="B24" s="30" t="s">
        <v>20</v>
      </c>
      <c r="C24" s="25">
        <f>C25+C26+C29+C31+C32+C27+C30+C33+C34+C35</f>
        <v>7052.7</v>
      </c>
      <c r="D24" s="25">
        <f>D25+D26+D29+D31+D32+D27+D30+D33+D34+D35</f>
        <v>0</v>
      </c>
      <c r="E24" s="25">
        <f>E25+E26+E29+E31+E32+E27+E30+E33+E34+E35</f>
        <v>7052716.3899999997</v>
      </c>
      <c r="F24" s="25">
        <f>F25+F26+F29+F31+F32+F27+F30+F33+F34+F35</f>
        <v>6973.7163900000005</v>
      </c>
      <c r="G24" s="25">
        <f>G25+G26+G29+G31+G32+G27+G30+G33+G34+G35</f>
        <v>1.6390000000068738E-2</v>
      </c>
      <c r="H24" s="16">
        <f t="shared" ref="H24:N24" si="33">SUM(H25:H35)</f>
        <v>0</v>
      </c>
      <c r="I24" s="16">
        <f t="shared" si="33"/>
        <v>6369.8</v>
      </c>
      <c r="J24" s="16">
        <f t="shared" si="33"/>
        <v>0</v>
      </c>
      <c r="K24" s="130">
        <f t="shared" si="33"/>
        <v>0</v>
      </c>
      <c r="L24" s="137">
        <f t="shared" si="33"/>
        <v>3859247.64</v>
      </c>
      <c r="M24" s="65">
        <f t="shared" si="26"/>
        <v>3859247.64</v>
      </c>
      <c r="N24" s="32">
        <f t="shared" si="33"/>
        <v>0</v>
      </c>
      <c r="O24" s="32"/>
      <c r="P24" s="32"/>
      <c r="Q24" s="137">
        <f>SUM(Q25:Q35)</f>
        <v>5042820</v>
      </c>
      <c r="R24" s="137">
        <f t="shared" ref="R24:U24" si="34">SUM(R25:R35)</f>
        <v>0</v>
      </c>
      <c r="S24" s="137">
        <f t="shared" si="34"/>
        <v>6226920</v>
      </c>
      <c r="T24" s="137">
        <f t="shared" si="34"/>
        <v>0</v>
      </c>
      <c r="U24" s="137">
        <f t="shared" si="34"/>
        <v>0</v>
      </c>
      <c r="V24" s="169"/>
      <c r="W24" s="110">
        <f t="shared" ref="W24:AB24" si="35">SUM(W25:W35)</f>
        <v>0</v>
      </c>
      <c r="X24" s="110">
        <f t="shared" si="35"/>
        <v>3859247.64</v>
      </c>
      <c r="Y24" s="28">
        <f t="shared" si="35"/>
        <v>0</v>
      </c>
      <c r="Z24" s="110">
        <f t="shared" si="35"/>
        <v>5042820</v>
      </c>
      <c r="AA24" s="28">
        <f t="shared" si="35"/>
        <v>0</v>
      </c>
      <c r="AB24" s="110">
        <f t="shared" si="35"/>
        <v>6226920</v>
      </c>
    </row>
    <row r="25" spans="1:28" ht="14.4" customHeight="1" x14ac:dyDescent="0.3">
      <c r="A25" s="134"/>
      <c r="B25" s="30" t="s">
        <v>21</v>
      </c>
      <c r="C25" s="25">
        <f>3236+2126</f>
        <v>5362</v>
      </c>
      <c r="D25" s="25"/>
      <c r="E25" s="25">
        <f>3236000+2126000</f>
        <v>5362000</v>
      </c>
      <c r="F25" s="116">
        <f t="shared" si="20"/>
        <v>5362</v>
      </c>
      <c r="G25" s="116">
        <f t="shared" si="21"/>
        <v>0</v>
      </c>
      <c r="H25" s="114"/>
      <c r="I25" s="114">
        <v>5412</v>
      </c>
      <c r="J25" s="114"/>
      <c r="K25" s="131">
        <v>0</v>
      </c>
      <c r="L25" s="151">
        <f t="shared" ref="L25:L35" si="36">W25+X25</f>
        <v>1173820</v>
      </c>
      <c r="M25" s="65">
        <f t="shared" si="26"/>
        <v>1173820</v>
      </c>
      <c r="N25" s="65">
        <v>0</v>
      </c>
      <c r="O25" s="65"/>
      <c r="P25" s="65"/>
      <c r="Q25" s="151">
        <f>Y25+Z25</f>
        <v>1173820</v>
      </c>
      <c r="R25" s="151"/>
      <c r="S25" s="151">
        <f t="shared" ref="S25:S35" si="37">AA25+AB25</f>
        <v>1173820</v>
      </c>
      <c r="T25" s="151"/>
      <c r="U25" s="151"/>
      <c r="V25" s="169">
        <v>906</v>
      </c>
      <c r="W25" s="63">
        <v>0</v>
      </c>
      <c r="X25" s="147">
        <v>1173820</v>
      </c>
      <c r="Y25" s="77"/>
      <c r="Z25" s="147">
        <v>1173820</v>
      </c>
      <c r="AA25" s="77"/>
      <c r="AB25" s="147">
        <v>1173820</v>
      </c>
    </row>
    <row r="26" spans="1:28" ht="16.2" customHeight="1" x14ac:dyDescent="0.3">
      <c r="A26" s="134"/>
      <c r="B26" s="30" t="s">
        <v>123</v>
      </c>
      <c r="C26" s="25">
        <v>500</v>
      </c>
      <c r="D26" s="25"/>
      <c r="E26" s="25">
        <v>500000</v>
      </c>
      <c r="F26" s="116">
        <f t="shared" si="20"/>
        <v>500</v>
      </c>
      <c r="G26" s="116">
        <f t="shared" si="21"/>
        <v>0</v>
      </c>
      <c r="H26" s="114"/>
      <c r="I26" s="114">
        <v>543.79999999999995</v>
      </c>
      <c r="J26" s="114"/>
      <c r="K26" s="131">
        <v>0</v>
      </c>
      <c r="L26" s="151">
        <f t="shared" si="36"/>
        <v>1000000</v>
      </c>
      <c r="M26" s="65">
        <f t="shared" si="26"/>
        <v>1000000</v>
      </c>
      <c r="N26" s="65">
        <v>0</v>
      </c>
      <c r="O26" s="65"/>
      <c r="P26" s="65"/>
      <c r="Q26" s="151">
        <f t="shared" ref="Q26:Q35" si="38">Y26+Z26</f>
        <v>1700000</v>
      </c>
      <c r="R26" s="151"/>
      <c r="S26" s="151">
        <f t="shared" si="37"/>
        <v>2017000</v>
      </c>
      <c r="T26" s="151"/>
      <c r="U26" s="151"/>
      <c r="V26" s="169">
        <v>906</v>
      </c>
      <c r="W26" s="63"/>
      <c r="X26" s="111">
        <v>1000000</v>
      </c>
      <c r="Y26" s="63"/>
      <c r="Z26" s="111">
        <v>1700000</v>
      </c>
      <c r="AA26" s="63"/>
      <c r="AB26" s="111">
        <v>2017000</v>
      </c>
    </row>
    <row r="27" spans="1:28" ht="16.95" customHeight="1" x14ac:dyDescent="0.3">
      <c r="A27" s="134"/>
      <c r="B27" s="40" t="s">
        <v>120</v>
      </c>
      <c r="C27" s="25"/>
      <c r="D27" s="25"/>
      <c r="E27" s="25"/>
      <c r="F27" s="116">
        <f t="shared" si="20"/>
        <v>0</v>
      </c>
      <c r="G27" s="116">
        <f t="shared" si="21"/>
        <v>0</v>
      </c>
      <c r="H27" s="114"/>
      <c r="I27" s="114"/>
      <c r="J27" s="114"/>
      <c r="K27" s="131">
        <v>0</v>
      </c>
      <c r="L27" s="151">
        <f t="shared" si="36"/>
        <v>0</v>
      </c>
      <c r="M27" s="65">
        <f t="shared" si="26"/>
        <v>0</v>
      </c>
      <c r="N27" s="65">
        <v>0</v>
      </c>
      <c r="O27" s="65"/>
      <c r="P27" s="65"/>
      <c r="Q27" s="151">
        <f t="shared" si="38"/>
        <v>0</v>
      </c>
      <c r="R27" s="151"/>
      <c r="S27" s="151">
        <f t="shared" si="37"/>
        <v>1767100</v>
      </c>
      <c r="T27" s="151"/>
      <c r="U27" s="151"/>
      <c r="V27" s="169">
        <v>905</v>
      </c>
      <c r="W27" s="63"/>
      <c r="X27" s="105"/>
      <c r="Y27" s="63"/>
      <c r="Z27" s="105"/>
      <c r="AA27" s="63"/>
      <c r="AB27" s="105">
        <v>1767100</v>
      </c>
    </row>
    <row r="28" spans="1:28" ht="24.6" x14ac:dyDescent="0.3">
      <c r="A28" s="134"/>
      <c r="B28" s="121" t="s">
        <v>88</v>
      </c>
      <c r="C28" s="25"/>
      <c r="D28" s="25"/>
      <c r="E28" s="25"/>
      <c r="F28" s="116"/>
      <c r="G28" s="116"/>
      <c r="H28" s="114"/>
      <c r="I28" s="114"/>
      <c r="J28" s="114"/>
      <c r="K28" s="131">
        <v>0</v>
      </c>
      <c r="L28" s="151">
        <f t="shared" si="36"/>
        <v>1000000</v>
      </c>
      <c r="M28" s="65">
        <f t="shared" si="26"/>
        <v>1000000</v>
      </c>
      <c r="N28" s="65">
        <v>0</v>
      </c>
      <c r="O28" s="65"/>
      <c r="P28" s="65"/>
      <c r="Q28" s="151">
        <f t="shared" si="38"/>
        <v>1500000</v>
      </c>
      <c r="R28" s="151"/>
      <c r="S28" s="151">
        <f t="shared" si="37"/>
        <v>600000</v>
      </c>
      <c r="T28" s="151"/>
      <c r="U28" s="151"/>
      <c r="V28" s="169">
        <v>906</v>
      </c>
      <c r="W28" s="63"/>
      <c r="X28" s="105">
        <v>1000000</v>
      </c>
      <c r="Y28" s="63"/>
      <c r="Z28" s="111">
        <v>1500000</v>
      </c>
      <c r="AA28" s="63"/>
      <c r="AB28" s="111">
        <v>600000</v>
      </c>
    </row>
    <row r="29" spans="1:28" ht="15" customHeight="1" x14ac:dyDescent="0.3">
      <c r="A29" s="134"/>
      <c r="B29" s="30" t="s">
        <v>89</v>
      </c>
      <c r="C29" s="25">
        <v>508.9</v>
      </c>
      <c r="D29" s="25"/>
      <c r="E29" s="25">
        <v>508947.39</v>
      </c>
      <c r="F29" s="116">
        <f t="shared" si="20"/>
        <v>508.94739000000004</v>
      </c>
      <c r="G29" s="116">
        <f t="shared" si="21"/>
        <v>4.7390000000063992E-2</v>
      </c>
      <c r="H29" s="114"/>
      <c r="I29" s="114">
        <v>111</v>
      </c>
      <c r="J29" s="114"/>
      <c r="K29" s="131">
        <v>0</v>
      </c>
      <c r="L29" s="151">
        <f t="shared" si="36"/>
        <v>109000</v>
      </c>
      <c r="M29" s="65">
        <f t="shared" si="26"/>
        <v>109000</v>
      </c>
      <c r="N29" s="65">
        <v>0</v>
      </c>
      <c r="O29" s="65"/>
      <c r="P29" s="65"/>
      <c r="Q29" s="151">
        <f t="shared" si="38"/>
        <v>109000</v>
      </c>
      <c r="R29" s="151"/>
      <c r="S29" s="151">
        <f t="shared" si="37"/>
        <v>109000</v>
      </c>
      <c r="T29" s="151"/>
      <c r="U29" s="151"/>
      <c r="V29" s="169">
        <v>902</v>
      </c>
      <c r="W29" s="63"/>
      <c r="X29" s="111">
        <v>109000</v>
      </c>
      <c r="Y29" s="63"/>
      <c r="Z29" s="111">
        <v>109000</v>
      </c>
      <c r="AA29" s="63"/>
      <c r="AB29" s="111">
        <v>109000</v>
      </c>
    </row>
    <row r="30" spans="1:28" ht="27.6" customHeight="1" x14ac:dyDescent="0.3">
      <c r="A30" s="134"/>
      <c r="B30" s="30" t="s">
        <v>31</v>
      </c>
      <c r="C30" s="16">
        <v>31.3</v>
      </c>
      <c r="D30" s="16"/>
      <c r="E30" s="25">
        <v>31250</v>
      </c>
      <c r="F30" s="116">
        <f t="shared" si="20"/>
        <v>31.25</v>
      </c>
      <c r="G30" s="116">
        <f t="shared" si="21"/>
        <v>-5.0000000000000711E-2</v>
      </c>
      <c r="H30" s="114"/>
      <c r="I30" s="114">
        <v>32</v>
      </c>
      <c r="J30" s="114"/>
      <c r="K30" s="131">
        <v>0</v>
      </c>
      <c r="L30" s="151">
        <f t="shared" si="36"/>
        <v>105000</v>
      </c>
      <c r="M30" s="65">
        <f t="shared" si="26"/>
        <v>105000</v>
      </c>
      <c r="N30" s="65">
        <v>0</v>
      </c>
      <c r="O30" s="65"/>
      <c r="P30" s="65"/>
      <c r="Q30" s="151">
        <f t="shared" si="38"/>
        <v>105000</v>
      </c>
      <c r="R30" s="151"/>
      <c r="S30" s="151">
        <f t="shared" si="37"/>
        <v>105000</v>
      </c>
      <c r="T30" s="151"/>
      <c r="U30" s="151"/>
      <c r="V30" s="169">
        <v>902</v>
      </c>
      <c r="W30" s="63"/>
      <c r="X30" s="111">
        <v>105000</v>
      </c>
      <c r="Y30" s="63"/>
      <c r="Z30" s="111">
        <v>105000</v>
      </c>
      <c r="AA30" s="63"/>
      <c r="AB30" s="111">
        <v>105000</v>
      </c>
    </row>
    <row r="31" spans="1:28" ht="24" x14ac:dyDescent="0.3">
      <c r="A31" s="134"/>
      <c r="B31" s="136" t="s">
        <v>28</v>
      </c>
      <c r="C31" s="16">
        <v>571.5</v>
      </c>
      <c r="D31" s="16"/>
      <c r="E31" s="25">
        <v>571519</v>
      </c>
      <c r="F31" s="116">
        <f t="shared" si="20"/>
        <v>571.51900000000001</v>
      </c>
      <c r="G31" s="116">
        <f t="shared" si="21"/>
        <v>1.9000000000005457E-2</v>
      </c>
      <c r="H31" s="114"/>
      <c r="I31" s="114">
        <v>271</v>
      </c>
      <c r="J31" s="114"/>
      <c r="K31" s="131">
        <v>0</v>
      </c>
      <c r="L31" s="151">
        <f t="shared" si="36"/>
        <v>455000</v>
      </c>
      <c r="M31" s="65">
        <f t="shared" si="26"/>
        <v>455000</v>
      </c>
      <c r="N31" s="65">
        <v>0</v>
      </c>
      <c r="O31" s="65"/>
      <c r="P31" s="65"/>
      <c r="Q31" s="151">
        <f t="shared" si="38"/>
        <v>455000</v>
      </c>
      <c r="R31" s="151"/>
      <c r="S31" s="151">
        <f t="shared" si="37"/>
        <v>455000</v>
      </c>
      <c r="T31" s="151"/>
      <c r="U31" s="151"/>
      <c r="V31" s="169">
        <v>902</v>
      </c>
      <c r="W31" s="63"/>
      <c r="X31" s="111">
        <v>455000</v>
      </c>
      <c r="Y31" s="63"/>
      <c r="Z31" s="111">
        <v>455000</v>
      </c>
      <c r="AA31" s="63"/>
      <c r="AB31" s="111">
        <v>455000</v>
      </c>
    </row>
    <row r="32" spans="1:28" ht="37.5" customHeight="1" x14ac:dyDescent="0.3">
      <c r="A32" s="134"/>
      <c r="B32" s="145" t="s">
        <v>134</v>
      </c>
      <c r="C32" s="16"/>
      <c r="D32" s="16"/>
      <c r="E32" s="25"/>
      <c r="F32" s="116">
        <f t="shared" si="20"/>
        <v>0</v>
      </c>
      <c r="G32" s="116">
        <f t="shared" si="21"/>
        <v>0</v>
      </c>
      <c r="H32" s="114"/>
      <c r="I32" s="114"/>
      <c r="J32" s="114"/>
      <c r="K32" s="131"/>
      <c r="L32" s="151">
        <f t="shared" si="36"/>
        <v>16427.64</v>
      </c>
      <c r="M32" s="65">
        <f t="shared" si="26"/>
        <v>16427.64</v>
      </c>
      <c r="N32" s="65">
        <v>0</v>
      </c>
      <c r="O32" s="65"/>
      <c r="P32" s="65"/>
      <c r="Q32" s="151">
        <f t="shared" si="38"/>
        <v>0</v>
      </c>
      <c r="R32" s="151"/>
      <c r="S32" s="151">
        <f t="shared" si="37"/>
        <v>0</v>
      </c>
      <c r="T32" s="151"/>
      <c r="U32" s="151"/>
      <c r="V32" s="169">
        <v>907</v>
      </c>
      <c r="W32" s="63"/>
      <c r="X32" s="152">
        <v>16427.64</v>
      </c>
      <c r="Y32" s="63"/>
      <c r="Z32" s="105"/>
      <c r="AA32" s="63"/>
      <c r="AB32" s="152"/>
    </row>
    <row r="33" spans="1:28" ht="24" hidden="1" x14ac:dyDescent="0.3">
      <c r="A33" s="134"/>
      <c r="B33" s="142" t="s">
        <v>32</v>
      </c>
      <c r="C33" s="16"/>
      <c r="D33" s="16"/>
      <c r="E33" s="25"/>
      <c r="F33" s="116">
        <f t="shared" si="20"/>
        <v>0</v>
      </c>
      <c r="G33" s="116">
        <f t="shared" si="21"/>
        <v>0</v>
      </c>
      <c r="H33" s="114"/>
      <c r="I33" s="114"/>
      <c r="J33" s="114"/>
      <c r="K33" s="131"/>
      <c r="L33" s="151">
        <f t="shared" si="36"/>
        <v>0</v>
      </c>
      <c r="M33" s="65">
        <f t="shared" si="26"/>
        <v>0</v>
      </c>
      <c r="N33" s="65">
        <v>0</v>
      </c>
      <c r="O33" s="65"/>
      <c r="P33" s="65"/>
      <c r="Q33" s="151">
        <f t="shared" si="38"/>
        <v>0</v>
      </c>
      <c r="R33" s="151"/>
      <c r="S33" s="151">
        <f t="shared" si="37"/>
        <v>0</v>
      </c>
      <c r="T33" s="151"/>
      <c r="U33" s="151"/>
      <c r="V33" s="169"/>
      <c r="W33" s="63"/>
      <c r="X33" s="105"/>
      <c r="Y33" s="63"/>
      <c r="Z33" s="105"/>
      <c r="AA33" s="63"/>
      <c r="AB33" s="105"/>
    </row>
    <row r="34" spans="1:28" ht="24" hidden="1" x14ac:dyDescent="0.3">
      <c r="A34" s="134"/>
      <c r="B34" s="142" t="s">
        <v>33</v>
      </c>
      <c r="C34" s="16"/>
      <c r="D34" s="16"/>
      <c r="E34" s="25"/>
      <c r="F34" s="116">
        <f t="shared" si="20"/>
        <v>0</v>
      </c>
      <c r="G34" s="116">
        <f t="shared" si="21"/>
        <v>0</v>
      </c>
      <c r="H34" s="114"/>
      <c r="I34" s="114"/>
      <c r="J34" s="114"/>
      <c r="K34" s="131"/>
      <c r="L34" s="151">
        <f t="shared" si="36"/>
        <v>0</v>
      </c>
      <c r="M34" s="65">
        <f t="shared" si="26"/>
        <v>0</v>
      </c>
      <c r="N34" s="65">
        <v>0</v>
      </c>
      <c r="O34" s="65"/>
      <c r="P34" s="65"/>
      <c r="Q34" s="151">
        <f t="shared" si="38"/>
        <v>0</v>
      </c>
      <c r="R34" s="151"/>
      <c r="S34" s="151">
        <f t="shared" si="37"/>
        <v>0</v>
      </c>
      <c r="T34" s="151"/>
      <c r="U34" s="151"/>
      <c r="V34" s="169"/>
      <c r="W34" s="63"/>
      <c r="X34" s="105"/>
      <c r="Y34" s="63"/>
      <c r="Z34" s="105"/>
      <c r="AA34" s="63"/>
      <c r="AB34" s="105"/>
    </row>
    <row r="35" spans="1:28" ht="24" hidden="1" x14ac:dyDescent="0.3">
      <c r="A35" s="134"/>
      <c r="B35" s="142" t="s">
        <v>50</v>
      </c>
      <c r="C35" s="16">
        <v>79</v>
      </c>
      <c r="D35" s="16"/>
      <c r="E35" s="25">
        <v>79000</v>
      </c>
      <c r="F35" s="116"/>
      <c r="G35" s="116"/>
      <c r="H35" s="114"/>
      <c r="I35" s="114"/>
      <c r="J35" s="114"/>
      <c r="K35" s="131"/>
      <c r="L35" s="151">
        <f t="shared" si="36"/>
        <v>0</v>
      </c>
      <c r="M35" s="65">
        <f t="shared" si="26"/>
        <v>0</v>
      </c>
      <c r="N35" s="65">
        <v>0</v>
      </c>
      <c r="O35" s="65"/>
      <c r="P35" s="65"/>
      <c r="Q35" s="151">
        <f t="shared" si="38"/>
        <v>0</v>
      </c>
      <c r="R35" s="151"/>
      <c r="S35" s="151">
        <f t="shared" si="37"/>
        <v>0</v>
      </c>
      <c r="T35" s="151"/>
      <c r="U35" s="151"/>
      <c r="V35" s="169"/>
      <c r="W35" s="63"/>
      <c r="X35" s="105"/>
      <c r="Y35" s="63"/>
      <c r="Z35" s="105"/>
      <c r="AA35" s="63"/>
      <c r="AB35" s="105"/>
    </row>
    <row r="36" spans="1:28" ht="16.95" customHeight="1" x14ac:dyDescent="0.3">
      <c r="A36" s="134" t="s">
        <v>43</v>
      </c>
      <c r="B36" s="136" t="s">
        <v>3</v>
      </c>
      <c r="C36" s="133">
        <f>C37+C49+C50+C51+C52</f>
        <v>726424</v>
      </c>
      <c r="D36" s="133">
        <f>D37+D49+D50+D51+D52</f>
        <v>0</v>
      </c>
      <c r="E36" s="133">
        <f>E37+E49+E50+E51+E52</f>
        <v>726423994</v>
      </c>
      <c r="F36" s="133">
        <f>F37+F49+F50+F51+F52</f>
        <v>726423.99399999995</v>
      </c>
      <c r="G36" s="133">
        <f>G37+G49+G50+G51+G52</f>
        <v>-6.0000000003128662E-3</v>
      </c>
      <c r="H36" s="133">
        <f t="shared" ref="H36:N36" si="39">H37+H49+H50+H51+H52+H53</f>
        <v>608092</v>
      </c>
      <c r="I36" s="133">
        <f t="shared" si="39"/>
        <v>774941</v>
      </c>
      <c r="J36" s="133">
        <f t="shared" si="39"/>
        <v>696541</v>
      </c>
      <c r="K36" s="135">
        <f t="shared" si="39"/>
        <v>545714</v>
      </c>
      <c r="L36" s="138">
        <f t="shared" si="39"/>
        <v>813453800</v>
      </c>
      <c r="M36" s="138">
        <f t="shared" si="39"/>
        <v>812908086</v>
      </c>
      <c r="N36" s="138">
        <f t="shared" si="39"/>
        <v>417933</v>
      </c>
      <c r="O36" s="138"/>
      <c r="P36" s="138"/>
      <c r="Q36" s="138">
        <f>Q37+Q49+Q50+Q51+Q52+Q53</f>
        <v>853866400</v>
      </c>
      <c r="R36" s="138">
        <f>R37+R49+R50+R51+R52+R53</f>
        <v>964095000</v>
      </c>
      <c r="S36" s="138">
        <f t="shared" ref="S36:U36" si="40">S37+S49+S50+S51+S52+S53</f>
        <v>831231000</v>
      </c>
      <c r="T36" s="138">
        <f t="shared" si="40"/>
        <v>958094000</v>
      </c>
      <c r="U36" s="138">
        <f t="shared" si="40"/>
        <v>1038642000</v>
      </c>
      <c r="V36" s="169"/>
      <c r="W36" s="112">
        <f t="shared" ref="W36:AB36" si="41">W37+W49+W50+W51+W52+W53</f>
        <v>3473800</v>
      </c>
      <c r="X36" s="112">
        <f t="shared" si="41"/>
        <v>809980000</v>
      </c>
      <c r="Y36" s="149">
        <f t="shared" si="41"/>
        <v>5078400</v>
      </c>
      <c r="Z36" s="112">
        <f t="shared" si="41"/>
        <v>848788000</v>
      </c>
      <c r="AA36" s="149">
        <f t="shared" si="41"/>
        <v>5342000</v>
      </c>
      <c r="AB36" s="112">
        <f t="shared" si="41"/>
        <v>825889000</v>
      </c>
    </row>
    <row r="37" spans="1:28" ht="24.6" customHeight="1" x14ac:dyDescent="0.3">
      <c r="A37" s="164" t="s">
        <v>44</v>
      </c>
      <c r="B37" s="165" t="s">
        <v>4</v>
      </c>
      <c r="C37" s="140">
        <f>SUM(C38:C48)</f>
        <v>691386</v>
      </c>
      <c r="D37" s="140">
        <f>SUM(D38:D48)</f>
        <v>0</v>
      </c>
      <c r="E37" s="143">
        <f>SUM(E38:E48)</f>
        <v>691386000</v>
      </c>
      <c r="F37" s="116">
        <f t="shared" si="20"/>
        <v>691386</v>
      </c>
      <c r="G37" s="116">
        <f>F37-C37</f>
        <v>0</v>
      </c>
      <c r="H37" s="140">
        <f t="shared" ref="H37:Q37" si="42">SUM(H38:H48)</f>
        <v>576319</v>
      </c>
      <c r="I37" s="140">
        <f t="shared" si="42"/>
        <v>739626</v>
      </c>
      <c r="J37" s="140">
        <f t="shared" si="42"/>
        <v>662922</v>
      </c>
      <c r="K37" s="141">
        <f t="shared" si="42"/>
        <v>510529</v>
      </c>
      <c r="L37" s="138">
        <f t="shared" si="42"/>
        <v>766653000</v>
      </c>
      <c r="M37" s="150">
        <f t="shared" si="42"/>
        <v>766142471</v>
      </c>
      <c r="N37" s="150">
        <f t="shared" si="42"/>
        <v>383394</v>
      </c>
      <c r="O37" s="166"/>
      <c r="P37" s="166"/>
      <c r="Q37" s="138">
        <f t="shared" si="42"/>
        <v>800982000</v>
      </c>
      <c r="R37" s="138">
        <f>SUM(R38:R48)</f>
        <v>918265000</v>
      </c>
      <c r="S37" s="138">
        <f t="shared" ref="S37:U37" si="43">SUM(S38:S48)</f>
        <v>777348000</v>
      </c>
      <c r="T37" s="138">
        <f t="shared" si="43"/>
        <v>877743000</v>
      </c>
      <c r="U37" s="138">
        <f t="shared" si="43"/>
        <v>957587000</v>
      </c>
      <c r="V37" s="170"/>
      <c r="W37" s="149">
        <f t="shared" ref="W37:AB37" si="44">SUM(W38:W48)</f>
        <v>0</v>
      </c>
      <c r="X37" s="112">
        <f t="shared" si="44"/>
        <v>766653000</v>
      </c>
      <c r="Y37" s="149">
        <f t="shared" si="44"/>
        <v>0</v>
      </c>
      <c r="Z37" s="112">
        <f t="shared" si="44"/>
        <v>800982000</v>
      </c>
      <c r="AA37" s="149">
        <f t="shared" si="44"/>
        <v>0</v>
      </c>
      <c r="AB37" s="112">
        <f t="shared" si="44"/>
        <v>777348000</v>
      </c>
    </row>
    <row r="38" spans="1:28" ht="50.4" customHeight="1" x14ac:dyDescent="0.3">
      <c r="A38" s="171"/>
      <c r="B38" s="136" t="s">
        <v>5</v>
      </c>
      <c r="C38" s="122">
        <v>386036</v>
      </c>
      <c r="D38" s="123"/>
      <c r="E38" s="124">
        <v>386036000</v>
      </c>
      <c r="F38" s="116">
        <f t="shared" si="20"/>
        <v>386036</v>
      </c>
      <c r="G38" s="116">
        <f t="shared" si="21"/>
        <v>0</v>
      </c>
      <c r="H38" s="114">
        <v>334797</v>
      </c>
      <c r="I38" s="114">
        <v>430728</v>
      </c>
      <c r="J38" s="114">
        <v>385292</v>
      </c>
      <c r="K38" s="131">
        <v>300084</v>
      </c>
      <c r="L38" s="151">
        <f t="shared" ref="L38:L56" si="45">W38+X38</f>
        <v>427215000</v>
      </c>
      <c r="M38" s="65">
        <f t="shared" ref="M38:M56" si="46">L38-K38</f>
        <v>426914916</v>
      </c>
      <c r="N38" s="65">
        <v>224097</v>
      </c>
      <c r="O38" s="65"/>
      <c r="P38" s="65"/>
      <c r="Q38" s="151">
        <f t="shared" ref="Q38:Q56" si="47">Y38+Z38</f>
        <v>449375000</v>
      </c>
      <c r="R38" s="177">
        <v>536533000</v>
      </c>
      <c r="S38" s="151">
        <f>AA38+AB38</f>
        <v>410769000</v>
      </c>
      <c r="T38" s="177">
        <v>478484000</v>
      </c>
      <c r="U38" s="151">
        <v>543554000</v>
      </c>
      <c r="V38" s="169">
        <v>906</v>
      </c>
      <c r="W38" s="63"/>
      <c r="X38" s="146">
        <v>427215000</v>
      </c>
      <c r="Y38" s="63"/>
      <c r="Z38" s="147">
        <v>449375000</v>
      </c>
      <c r="AA38" s="63"/>
      <c r="AB38" s="147">
        <v>410769000</v>
      </c>
    </row>
    <row r="39" spans="1:28" ht="28.2" customHeight="1" x14ac:dyDescent="0.3">
      <c r="A39" s="171"/>
      <c r="B39" s="136" t="s">
        <v>6</v>
      </c>
      <c r="C39" s="122">
        <v>295813</v>
      </c>
      <c r="D39" s="123"/>
      <c r="E39" s="124">
        <v>295813000</v>
      </c>
      <c r="F39" s="116">
        <f t="shared" si="20"/>
        <v>295813</v>
      </c>
      <c r="G39" s="116">
        <f t="shared" si="21"/>
        <v>0</v>
      </c>
      <c r="H39" s="114">
        <v>231806</v>
      </c>
      <c r="I39" s="114">
        <v>299172</v>
      </c>
      <c r="J39" s="114">
        <v>267660</v>
      </c>
      <c r="K39" s="131">
        <v>199795</v>
      </c>
      <c r="L39" s="151">
        <f t="shared" si="45"/>
        <v>326317000</v>
      </c>
      <c r="M39" s="65">
        <f t="shared" si="46"/>
        <v>326117205</v>
      </c>
      <c r="N39" s="65">
        <v>148579</v>
      </c>
      <c r="O39" s="65"/>
      <c r="P39" s="65"/>
      <c r="Q39" s="151">
        <f t="shared" si="47"/>
        <v>339524000</v>
      </c>
      <c r="R39" s="177">
        <v>362453000</v>
      </c>
      <c r="S39" s="151">
        <f t="shared" ref="S39:S58" si="48">AA39+AB39</f>
        <v>354418000</v>
      </c>
      <c r="T39" s="177">
        <v>379629000</v>
      </c>
      <c r="U39" s="151">
        <v>394020000</v>
      </c>
      <c r="V39" s="169">
        <v>906</v>
      </c>
      <c r="W39" s="63"/>
      <c r="X39" s="146">
        <v>326317000</v>
      </c>
      <c r="Y39" s="63"/>
      <c r="Z39" s="147">
        <v>339524000</v>
      </c>
      <c r="AA39" s="63"/>
      <c r="AB39" s="147">
        <v>354418000</v>
      </c>
    </row>
    <row r="40" spans="1:28" ht="25.2" customHeight="1" x14ac:dyDescent="0.3">
      <c r="A40" s="171"/>
      <c r="B40" s="136" t="s">
        <v>7</v>
      </c>
      <c r="C40" s="122">
        <v>6199</v>
      </c>
      <c r="D40" s="123"/>
      <c r="E40" s="124">
        <v>6199000</v>
      </c>
      <c r="F40" s="116">
        <f t="shared" si="20"/>
        <v>6199</v>
      </c>
      <c r="G40" s="116">
        <f t="shared" si="21"/>
        <v>0</v>
      </c>
      <c r="H40" s="114">
        <v>6291</v>
      </c>
      <c r="I40" s="114">
        <v>6291</v>
      </c>
      <c r="J40" s="114">
        <v>6463</v>
      </c>
      <c r="K40" s="131">
        <v>5889</v>
      </c>
      <c r="L40" s="151">
        <f t="shared" si="45"/>
        <v>6515000</v>
      </c>
      <c r="M40" s="65">
        <f t="shared" si="46"/>
        <v>6509111</v>
      </c>
      <c r="N40" s="65">
        <v>5889</v>
      </c>
      <c r="O40" s="65"/>
      <c r="P40" s="65"/>
      <c r="Q40" s="151">
        <f t="shared" si="47"/>
        <v>6515000</v>
      </c>
      <c r="R40" s="177">
        <v>6958000</v>
      </c>
      <c r="S40" s="151">
        <f t="shared" si="48"/>
        <v>6515000</v>
      </c>
      <c r="T40" s="177">
        <v>6958000</v>
      </c>
      <c r="U40" s="151">
        <v>6958000</v>
      </c>
      <c r="V40" s="169">
        <v>906</v>
      </c>
      <c r="W40" s="63"/>
      <c r="X40" s="147">
        <v>6515000</v>
      </c>
      <c r="Y40" s="63"/>
      <c r="Z40" s="147">
        <v>6515000</v>
      </c>
      <c r="AA40" s="63"/>
      <c r="AB40" s="147">
        <v>6515000</v>
      </c>
    </row>
    <row r="41" spans="1:28" ht="24.6" customHeight="1" x14ac:dyDescent="0.3">
      <c r="A41" s="171"/>
      <c r="B41" s="136" t="s">
        <v>8</v>
      </c>
      <c r="C41" s="122">
        <v>2</v>
      </c>
      <c r="D41" s="123"/>
      <c r="E41" s="124">
        <v>2000</v>
      </c>
      <c r="F41" s="116">
        <f t="shared" si="20"/>
        <v>2</v>
      </c>
      <c r="G41" s="116">
        <f t="shared" si="21"/>
        <v>0</v>
      </c>
      <c r="H41" s="114">
        <v>2</v>
      </c>
      <c r="I41" s="114">
        <v>2</v>
      </c>
      <c r="J41" s="114">
        <v>2</v>
      </c>
      <c r="K41" s="131">
        <v>2</v>
      </c>
      <c r="L41" s="151">
        <f t="shared" si="45"/>
        <v>2000</v>
      </c>
      <c r="M41" s="65">
        <f t="shared" si="46"/>
        <v>1998</v>
      </c>
      <c r="N41" s="65">
        <v>2</v>
      </c>
      <c r="O41" s="65"/>
      <c r="P41" s="65"/>
      <c r="Q41" s="151">
        <f t="shared" si="47"/>
        <v>2000</v>
      </c>
      <c r="R41" s="177">
        <v>2000</v>
      </c>
      <c r="S41" s="151">
        <f t="shared" si="48"/>
        <v>2000</v>
      </c>
      <c r="T41" s="177">
        <v>2000</v>
      </c>
      <c r="U41" s="151">
        <v>2000</v>
      </c>
      <c r="V41" s="169">
        <v>902</v>
      </c>
      <c r="W41" s="63"/>
      <c r="X41" s="147">
        <v>2000</v>
      </c>
      <c r="Y41" s="77"/>
      <c r="Z41" s="147">
        <v>2000</v>
      </c>
      <c r="AA41" s="77"/>
      <c r="AB41" s="147">
        <v>2000</v>
      </c>
    </row>
    <row r="42" spans="1:28" ht="27.6" customHeight="1" x14ac:dyDescent="0.3">
      <c r="A42" s="171"/>
      <c r="B42" s="136" t="s">
        <v>9</v>
      </c>
      <c r="C42" s="122">
        <v>558</v>
      </c>
      <c r="D42" s="123"/>
      <c r="E42" s="124">
        <v>558000</v>
      </c>
      <c r="F42" s="116">
        <f t="shared" si="20"/>
        <v>558</v>
      </c>
      <c r="G42" s="116">
        <f t="shared" si="21"/>
        <v>0</v>
      </c>
      <c r="H42" s="114">
        <v>558</v>
      </c>
      <c r="I42" s="114">
        <v>558</v>
      </c>
      <c r="J42" s="114">
        <v>579</v>
      </c>
      <c r="K42" s="131">
        <v>570</v>
      </c>
      <c r="L42" s="151">
        <f t="shared" si="45"/>
        <v>641000</v>
      </c>
      <c r="M42" s="65">
        <f t="shared" si="46"/>
        <v>640430</v>
      </c>
      <c r="N42" s="65">
        <v>570</v>
      </c>
      <c r="O42" s="65"/>
      <c r="P42" s="65"/>
      <c r="Q42" s="151">
        <f t="shared" si="47"/>
        <v>641000</v>
      </c>
      <c r="R42" s="177">
        <v>686000</v>
      </c>
      <c r="S42" s="151">
        <f t="shared" si="48"/>
        <v>641000</v>
      </c>
      <c r="T42" s="177">
        <v>686000</v>
      </c>
      <c r="U42" s="151">
        <v>686000</v>
      </c>
      <c r="V42" s="169">
        <v>902</v>
      </c>
      <c r="W42" s="63"/>
      <c r="X42" s="147">
        <v>641000</v>
      </c>
      <c r="Y42" s="63"/>
      <c r="Z42" s="147">
        <v>641000</v>
      </c>
      <c r="AA42" s="147"/>
      <c r="AB42" s="147">
        <v>641000</v>
      </c>
    </row>
    <row r="43" spans="1:28" ht="48" customHeight="1" x14ac:dyDescent="0.3">
      <c r="A43" s="171"/>
      <c r="B43" s="42" t="s">
        <v>143</v>
      </c>
      <c r="C43" s="122"/>
      <c r="D43" s="123"/>
      <c r="E43" s="124"/>
      <c r="F43" s="116"/>
      <c r="G43" s="116"/>
      <c r="H43" s="114"/>
      <c r="I43" s="114"/>
      <c r="J43" s="114"/>
      <c r="K43" s="131"/>
      <c r="L43" s="151"/>
      <c r="M43" s="65"/>
      <c r="N43" s="65"/>
      <c r="O43" s="65"/>
      <c r="P43" s="65"/>
      <c r="Q43" s="151"/>
      <c r="R43" s="177">
        <v>34000</v>
      </c>
      <c r="S43" s="151"/>
      <c r="T43" s="177">
        <v>34000</v>
      </c>
      <c r="U43" s="151">
        <v>34000</v>
      </c>
      <c r="V43" s="176">
        <v>905</v>
      </c>
      <c r="W43" s="63"/>
      <c r="X43" s="147"/>
      <c r="Y43" s="63"/>
      <c r="Z43" s="147"/>
      <c r="AA43" s="147"/>
      <c r="AB43" s="147"/>
    </row>
    <row r="44" spans="1:28" ht="27.6" customHeight="1" x14ac:dyDescent="0.3">
      <c r="A44" s="171"/>
      <c r="B44" s="52" t="s">
        <v>142</v>
      </c>
      <c r="C44" s="122"/>
      <c r="D44" s="123"/>
      <c r="E44" s="124"/>
      <c r="F44" s="116"/>
      <c r="G44" s="116"/>
      <c r="H44" s="114"/>
      <c r="I44" s="114"/>
      <c r="J44" s="114"/>
      <c r="K44" s="131"/>
      <c r="L44" s="151"/>
      <c r="M44" s="65"/>
      <c r="N44" s="65"/>
      <c r="O44" s="65"/>
      <c r="P44" s="65"/>
      <c r="Q44" s="151"/>
      <c r="R44" s="177">
        <v>1396000</v>
      </c>
      <c r="S44" s="151"/>
      <c r="T44" s="177">
        <v>1396000</v>
      </c>
      <c r="U44" s="151">
        <v>1396000</v>
      </c>
      <c r="V44" s="176">
        <v>902</v>
      </c>
      <c r="W44" s="63"/>
      <c r="X44" s="147"/>
      <c r="Y44" s="63"/>
      <c r="Z44" s="147"/>
      <c r="AA44" s="147"/>
      <c r="AB44" s="147"/>
    </row>
    <row r="45" spans="1:28" ht="24" customHeight="1" x14ac:dyDescent="0.3">
      <c r="A45" s="171"/>
      <c r="B45" s="136" t="s">
        <v>10</v>
      </c>
      <c r="C45" s="122">
        <v>1032</v>
      </c>
      <c r="D45" s="123"/>
      <c r="E45" s="124">
        <v>1032000</v>
      </c>
      <c r="F45" s="116">
        <f t="shared" si="20"/>
        <v>1032</v>
      </c>
      <c r="G45" s="116">
        <f t="shared" si="21"/>
        <v>0</v>
      </c>
      <c r="H45" s="114">
        <v>1037</v>
      </c>
      <c r="I45" s="114">
        <v>1037</v>
      </c>
      <c r="J45" s="114">
        <v>1076</v>
      </c>
      <c r="K45" s="131">
        <v>1054</v>
      </c>
      <c r="L45" s="151">
        <f t="shared" si="45"/>
        <v>1186000</v>
      </c>
      <c r="M45" s="65">
        <f t="shared" si="46"/>
        <v>1184946</v>
      </c>
      <c r="N45" s="65">
        <v>1054</v>
      </c>
      <c r="O45" s="65"/>
      <c r="P45" s="65"/>
      <c r="Q45" s="151">
        <f t="shared" si="47"/>
        <v>1186000</v>
      </c>
      <c r="R45" s="151"/>
      <c r="S45" s="151">
        <f t="shared" si="48"/>
        <v>1186000</v>
      </c>
      <c r="T45" s="151"/>
      <c r="U45" s="151"/>
      <c r="V45" s="169">
        <v>902</v>
      </c>
      <c r="W45" s="63"/>
      <c r="X45" s="147">
        <v>1186000</v>
      </c>
      <c r="Y45" s="63"/>
      <c r="Z45" s="147">
        <v>1186000</v>
      </c>
      <c r="AA45" s="63"/>
      <c r="AB45" s="147">
        <v>1186000</v>
      </c>
    </row>
    <row r="46" spans="1:28" ht="24" customHeight="1" x14ac:dyDescent="0.3">
      <c r="A46" s="171"/>
      <c r="B46" s="136" t="s">
        <v>11</v>
      </c>
      <c r="C46" s="122">
        <v>542</v>
      </c>
      <c r="D46" s="123"/>
      <c r="E46" s="124">
        <v>542000</v>
      </c>
      <c r="F46" s="116">
        <f t="shared" si="20"/>
        <v>542</v>
      </c>
      <c r="G46" s="116">
        <f t="shared" si="21"/>
        <v>0</v>
      </c>
      <c r="H46" s="114">
        <v>542</v>
      </c>
      <c r="I46" s="114">
        <v>542</v>
      </c>
      <c r="J46" s="114">
        <v>564</v>
      </c>
      <c r="K46" s="131">
        <v>554</v>
      </c>
      <c r="L46" s="151">
        <f t="shared" si="45"/>
        <v>623000</v>
      </c>
      <c r="M46" s="65">
        <f t="shared" si="46"/>
        <v>622446</v>
      </c>
      <c r="N46" s="65">
        <v>554</v>
      </c>
      <c r="O46" s="65"/>
      <c r="P46" s="65"/>
      <c r="Q46" s="151">
        <f t="shared" si="47"/>
        <v>623000</v>
      </c>
      <c r="R46" s="177">
        <v>666000</v>
      </c>
      <c r="S46" s="151">
        <f t="shared" si="48"/>
        <v>623000</v>
      </c>
      <c r="T46" s="177">
        <v>666000</v>
      </c>
      <c r="U46" s="151">
        <v>666000</v>
      </c>
      <c r="V46" s="169">
        <v>902</v>
      </c>
      <c r="W46" s="63"/>
      <c r="X46" s="147">
        <v>623000</v>
      </c>
      <c r="Y46" s="63"/>
      <c r="Z46" s="147">
        <v>623000</v>
      </c>
      <c r="AA46" s="63"/>
      <c r="AB46" s="147">
        <v>623000</v>
      </c>
    </row>
    <row r="47" spans="1:28" ht="42" customHeight="1" x14ac:dyDescent="0.3">
      <c r="A47" s="171"/>
      <c r="B47" s="136" t="s">
        <v>12</v>
      </c>
      <c r="C47" s="122">
        <v>762</v>
      </c>
      <c r="D47" s="123"/>
      <c r="E47" s="124">
        <v>762000</v>
      </c>
      <c r="F47" s="116">
        <f t="shared" si="20"/>
        <v>762</v>
      </c>
      <c r="G47" s="116">
        <f t="shared" si="21"/>
        <v>0</v>
      </c>
      <c r="H47" s="114">
        <v>778</v>
      </c>
      <c r="I47" s="114">
        <v>778</v>
      </c>
      <c r="J47" s="114">
        <v>778</v>
      </c>
      <c r="K47" s="131">
        <v>795</v>
      </c>
      <c r="L47" s="151">
        <f t="shared" si="45"/>
        <v>1160000</v>
      </c>
      <c r="M47" s="65">
        <f t="shared" si="46"/>
        <v>1159205</v>
      </c>
      <c r="N47" s="65">
        <v>795</v>
      </c>
      <c r="O47" s="65"/>
      <c r="P47" s="65"/>
      <c r="Q47" s="151">
        <f t="shared" si="47"/>
        <v>1160000</v>
      </c>
      <c r="R47" s="177">
        <v>1373000</v>
      </c>
      <c r="S47" s="151">
        <f t="shared" si="48"/>
        <v>1160000</v>
      </c>
      <c r="T47" s="177">
        <v>1373000</v>
      </c>
      <c r="U47" s="151">
        <v>1373000</v>
      </c>
      <c r="V47" s="169">
        <v>905</v>
      </c>
      <c r="W47" s="63"/>
      <c r="X47" s="147">
        <v>1160000</v>
      </c>
      <c r="Y47" s="63"/>
      <c r="Z47" s="147">
        <v>1160000</v>
      </c>
      <c r="AA47" s="77"/>
      <c r="AB47" s="147">
        <v>1160000</v>
      </c>
    </row>
    <row r="48" spans="1:28" ht="27.6" customHeight="1" x14ac:dyDescent="0.3">
      <c r="A48" s="171" t="s">
        <v>136</v>
      </c>
      <c r="B48" s="136" t="s">
        <v>124</v>
      </c>
      <c r="C48" s="122">
        <v>442</v>
      </c>
      <c r="D48" s="123"/>
      <c r="E48" s="124">
        <v>442000</v>
      </c>
      <c r="F48" s="116">
        <f t="shared" si="20"/>
        <v>442</v>
      </c>
      <c r="G48" s="116">
        <f t="shared" si="21"/>
        <v>0</v>
      </c>
      <c r="H48" s="114">
        <v>508</v>
      </c>
      <c r="I48" s="114">
        <v>518</v>
      </c>
      <c r="J48" s="114">
        <v>508</v>
      </c>
      <c r="K48" s="131">
        <v>1786</v>
      </c>
      <c r="L48" s="151">
        <f t="shared" si="45"/>
        <v>2994000</v>
      </c>
      <c r="M48" s="65">
        <f t="shared" si="46"/>
        <v>2992214</v>
      </c>
      <c r="N48" s="65">
        <v>1854</v>
      </c>
      <c r="O48" s="65"/>
      <c r="P48" s="65"/>
      <c r="Q48" s="151">
        <f t="shared" si="47"/>
        <v>1956000</v>
      </c>
      <c r="R48" s="177">
        <v>8164000</v>
      </c>
      <c r="S48" s="151">
        <f t="shared" si="48"/>
        <v>2034000</v>
      </c>
      <c r="T48" s="177">
        <v>8515000</v>
      </c>
      <c r="U48" s="151">
        <v>8898000</v>
      </c>
      <c r="V48" s="169">
        <v>905</v>
      </c>
      <c r="W48" s="63"/>
      <c r="X48" s="146">
        <f>1883000+105000+1006000</f>
        <v>2994000</v>
      </c>
      <c r="Y48" s="63"/>
      <c r="Z48" s="146">
        <v>1956000</v>
      </c>
      <c r="AA48" s="77"/>
      <c r="AB48" s="146">
        <v>2034000</v>
      </c>
    </row>
    <row r="49" spans="1:28" ht="31.95" customHeight="1" x14ac:dyDescent="0.3">
      <c r="A49" s="160" t="s">
        <v>45</v>
      </c>
      <c r="B49" s="136" t="s">
        <v>13</v>
      </c>
      <c r="C49" s="122">
        <v>25623</v>
      </c>
      <c r="D49" s="123"/>
      <c r="E49" s="124">
        <v>25623000</v>
      </c>
      <c r="F49" s="116">
        <f t="shared" si="20"/>
        <v>25623</v>
      </c>
      <c r="G49" s="116">
        <f t="shared" si="21"/>
        <v>0</v>
      </c>
      <c r="H49" s="114">
        <v>24886</v>
      </c>
      <c r="I49" s="114">
        <v>24886</v>
      </c>
      <c r="J49" s="114">
        <v>25882</v>
      </c>
      <c r="K49" s="131">
        <v>27714</v>
      </c>
      <c r="L49" s="151">
        <f t="shared" si="45"/>
        <v>28143000</v>
      </c>
      <c r="M49" s="65">
        <f t="shared" si="46"/>
        <v>28115286</v>
      </c>
      <c r="N49" s="65">
        <v>27714</v>
      </c>
      <c r="O49" s="65"/>
      <c r="P49" s="65"/>
      <c r="Q49" s="151">
        <f t="shared" si="47"/>
        <v>28143000</v>
      </c>
      <c r="R49" s="177">
        <v>29486000</v>
      </c>
      <c r="S49" s="151">
        <f t="shared" si="48"/>
        <v>28143000</v>
      </c>
      <c r="T49" s="177">
        <v>29486000</v>
      </c>
      <c r="U49" s="151">
        <v>29486000</v>
      </c>
      <c r="V49" s="169">
        <v>906</v>
      </c>
      <c r="W49" s="63"/>
      <c r="X49" s="148">
        <v>28143000</v>
      </c>
      <c r="Y49" s="63"/>
      <c r="Z49" s="148">
        <v>28143000</v>
      </c>
      <c r="AA49" s="63"/>
      <c r="AB49" s="148">
        <v>28143000</v>
      </c>
    </row>
    <row r="50" spans="1:28" ht="36.6" customHeight="1" x14ac:dyDescent="0.3">
      <c r="A50" s="160" t="s">
        <v>46</v>
      </c>
      <c r="B50" s="136" t="s">
        <v>14</v>
      </c>
      <c r="C50" s="122">
        <v>3449</v>
      </c>
      <c r="D50" s="123"/>
      <c r="E50" s="124">
        <v>3449000</v>
      </c>
      <c r="F50" s="116">
        <f t="shared" si="20"/>
        <v>3449</v>
      </c>
      <c r="G50" s="116">
        <f t="shared" si="21"/>
        <v>0</v>
      </c>
      <c r="H50" s="114">
        <v>3673</v>
      </c>
      <c r="I50" s="114">
        <v>3673</v>
      </c>
      <c r="J50" s="114">
        <v>3673</v>
      </c>
      <c r="K50" s="131">
        <v>2329</v>
      </c>
      <c r="L50" s="151">
        <f t="shared" si="45"/>
        <v>5387000</v>
      </c>
      <c r="M50" s="65">
        <f t="shared" si="46"/>
        <v>5384671</v>
      </c>
      <c r="N50" s="65">
        <v>2329</v>
      </c>
      <c r="O50" s="65"/>
      <c r="P50" s="65"/>
      <c r="Q50" s="151">
        <f t="shared" si="47"/>
        <v>5387000</v>
      </c>
      <c r="R50" s="177">
        <v>4048000</v>
      </c>
      <c r="S50" s="151">
        <f t="shared" si="48"/>
        <v>5387000</v>
      </c>
      <c r="T50" s="177">
        <v>4048000</v>
      </c>
      <c r="U50" s="177">
        <v>4048000</v>
      </c>
      <c r="V50" s="169">
        <v>906</v>
      </c>
      <c r="W50" s="63"/>
      <c r="X50" s="147">
        <v>5387000</v>
      </c>
      <c r="Y50" s="63"/>
      <c r="Z50" s="147">
        <v>5387000</v>
      </c>
      <c r="AA50" s="63"/>
      <c r="AB50" s="147">
        <v>5387000</v>
      </c>
    </row>
    <row r="51" spans="1:28" ht="38.4" customHeight="1" x14ac:dyDescent="0.3">
      <c r="A51" s="160" t="s">
        <v>47</v>
      </c>
      <c r="B51" s="136" t="s">
        <v>15</v>
      </c>
      <c r="C51" s="122">
        <v>5821</v>
      </c>
      <c r="D51" s="123"/>
      <c r="E51" s="124">
        <v>5820994</v>
      </c>
      <c r="F51" s="116">
        <f t="shared" si="20"/>
        <v>5820.9939999999997</v>
      </c>
      <c r="G51" s="116">
        <f t="shared" si="21"/>
        <v>-6.0000000003128662E-3</v>
      </c>
      <c r="H51" s="114">
        <v>3104</v>
      </c>
      <c r="I51" s="114">
        <f>3104+2580</f>
        <v>5684</v>
      </c>
      <c r="J51" s="114">
        <v>3954</v>
      </c>
      <c r="K51" s="131">
        <v>5031</v>
      </c>
      <c r="L51" s="151">
        <f t="shared" si="45"/>
        <v>13169800</v>
      </c>
      <c r="M51" s="65">
        <f t="shared" si="46"/>
        <v>13164769</v>
      </c>
      <c r="N51" s="65">
        <v>4385</v>
      </c>
      <c r="O51" s="65"/>
      <c r="P51" s="65"/>
      <c r="Q51" s="151">
        <f t="shared" si="47"/>
        <v>19253400</v>
      </c>
      <c r="R51" s="177">
        <v>12204000</v>
      </c>
      <c r="S51" s="151">
        <f t="shared" si="48"/>
        <v>20252000</v>
      </c>
      <c r="T51" s="177">
        <v>46725000</v>
      </c>
      <c r="U51" s="151">
        <v>47429000</v>
      </c>
      <c r="V51" s="169">
        <v>904</v>
      </c>
      <c r="W51" s="63">
        <v>3473800</v>
      </c>
      <c r="X51" s="148">
        <v>9696000</v>
      </c>
      <c r="Y51" s="63">
        <v>5078400</v>
      </c>
      <c r="Z51" s="148">
        <v>14175000</v>
      </c>
      <c r="AA51" s="63">
        <v>5342000</v>
      </c>
      <c r="AB51" s="148">
        <v>14910000</v>
      </c>
    </row>
    <row r="52" spans="1:28" ht="23.4" customHeight="1" x14ac:dyDescent="0.3">
      <c r="A52" s="160" t="s">
        <v>48</v>
      </c>
      <c r="B52" s="136" t="s">
        <v>16</v>
      </c>
      <c r="C52" s="122">
        <v>145</v>
      </c>
      <c r="D52" s="123"/>
      <c r="E52" s="124">
        <v>145000</v>
      </c>
      <c r="F52" s="116">
        <f t="shared" si="20"/>
        <v>145</v>
      </c>
      <c r="G52" s="116">
        <f t="shared" si="21"/>
        <v>0</v>
      </c>
      <c r="H52" s="114">
        <v>110</v>
      </c>
      <c r="I52" s="114">
        <v>110</v>
      </c>
      <c r="J52" s="114">
        <v>110</v>
      </c>
      <c r="K52" s="131">
        <v>111</v>
      </c>
      <c r="L52" s="151">
        <f t="shared" si="45"/>
        <v>101000</v>
      </c>
      <c r="M52" s="65">
        <f t="shared" si="46"/>
        <v>100889</v>
      </c>
      <c r="N52" s="65">
        <v>111</v>
      </c>
      <c r="O52" s="65"/>
      <c r="P52" s="65"/>
      <c r="Q52" s="151">
        <f t="shared" si="47"/>
        <v>101000</v>
      </c>
      <c r="R52" s="177">
        <v>92000</v>
      </c>
      <c r="S52" s="151">
        <f t="shared" si="48"/>
        <v>101000</v>
      </c>
      <c r="T52" s="177">
        <v>92000</v>
      </c>
      <c r="U52" s="151">
        <v>92000</v>
      </c>
      <c r="V52" s="169">
        <v>907</v>
      </c>
      <c r="W52" s="63"/>
      <c r="X52" s="147">
        <v>101000</v>
      </c>
      <c r="Y52" s="63"/>
      <c r="Z52" s="147">
        <v>101000</v>
      </c>
      <c r="AA52" s="77"/>
      <c r="AB52" s="147">
        <v>101000</v>
      </c>
    </row>
    <row r="53" spans="1:28" x14ac:dyDescent="0.3">
      <c r="A53" s="126" t="s">
        <v>65</v>
      </c>
      <c r="B53" s="127" t="s">
        <v>87</v>
      </c>
      <c r="C53" s="123"/>
      <c r="D53" s="123"/>
      <c r="E53" s="124"/>
      <c r="F53" s="116">
        <f t="shared" si="20"/>
        <v>0</v>
      </c>
      <c r="G53" s="116">
        <f t="shared" si="21"/>
        <v>0</v>
      </c>
      <c r="H53" s="114"/>
      <c r="I53" s="114">
        <v>962</v>
      </c>
      <c r="J53" s="114"/>
      <c r="K53" s="131">
        <v>0</v>
      </c>
      <c r="L53" s="151">
        <f t="shared" si="45"/>
        <v>0</v>
      </c>
      <c r="M53" s="65">
        <f t="shared" si="46"/>
        <v>0</v>
      </c>
      <c r="N53" s="65">
        <v>0</v>
      </c>
      <c r="O53" s="65"/>
      <c r="P53" s="65"/>
      <c r="Q53" s="151">
        <f t="shared" si="47"/>
        <v>0</v>
      </c>
      <c r="R53" s="151"/>
      <c r="S53" s="151">
        <f t="shared" si="48"/>
        <v>0</v>
      </c>
      <c r="T53" s="151"/>
      <c r="U53" s="151"/>
      <c r="V53" s="169" t="s">
        <v>61</v>
      </c>
      <c r="W53" s="63"/>
      <c r="X53" s="153"/>
      <c r="Y53" s="63"/>
      <c r="Z53" s="105"/>
      <c r="AA53" s="63"/>
      <c r="AB53" s="105"/>
    </row>
    <row r="54" spans="1:28" ht="24" x14ac:dyDescent="0.3">
      <c r="A54" s="139" t="s">
        <v>128</v>
      </c>
      <c r="B54" s="139" t="s">
        <v>127</v>
      </c>
      <c r="C54" s="123"/>
      <c r="D54" s="123"/>
      <c r="E54" s="124"/>
      <c r="F54" s="116"/>
      <c r="G54" s="116"/>
      <c r="H54" s="114"/>
      <c r="I54" s="114"/>
      <c r="J54" s="114"/>
      <c r="K54" s="131"/>
      <c r="L54" s="151">
        <f t="shared" si="45"/>
        <v>37706000</v>
      </c>
      <c r="M54" s="67"/>
      <c r="N54" s="67"/>
      <c r="O54" s="67"/>
      <c r="P54" s="67"/>
      <c r="Q54" s="151">
        <f>Y54+Z54</f>
        <v>37303000</v>
      </c>
      <c r="R54" s="151"/>
      <c r="S54" s="151">
        <f t="shared" si="48"/>
        <v>39570000</v>
      </c>
      <c r="T54" s="151"/>
      <c r="U54" s="151"/>
      <c r="V54" s="169"/>
      <c r="W54" s="108">
        <f>W55</f>
        <v>37706000</v>
      </c>
      <c r="X54" s="108">
        <f t="shared" ref="X54:AB54" si="49">X55</f>
        <v>0</v>
      </c>
      <c r="Y54" s="108">
        <f t="shared" si="49"/>
        <v>37303000</v>
      </c>
      <c r="Z54" s="108">
        <f t="shared" si="49"/>
        <v>0</v>
      </c>
      <c r="AA54" s="108">
        <f t="shared" si="49"/>
        <v>39570000</v>
      </c>
      <c r="AB54" s="108">
        <f t="shared" si="49"/>
        <v>0</v>
      </c>
    </row>
    <row r="55" spans="1:28" ht="36.6" x14ac:dyDescent="0.3">
      <c r="A55" s="161" t="s">
        <v>114</v>
      </c>
      <c r="B55" s="120" t="s">
        <v>126</v>
      </c>
      <c r="C55" s="123"/>
      <c r="D55" s="123"/>
      <c r="E55" s="124"/>
      <c r="F55" s="116"/>
      <c r="G55" s="116"/>
      <c r="H55" s="114"/>
      <c r="I55" s="114"/>
      <c r="J55" s="114"/>
      <c r="K55" s="131"/>
      <c r="L55" s="151">
        <f t="shared" si="45"/>
        <v>37706000</v>
      </c>
      <c r="M55" s="67"/>
      <c r="N55" s="67"/>
      <c r="O55" s="67"/>
      <c r="P55" s="67"/>
      <c r="Q55" s="151">
        <f t="shared" si="47"/>
        <v>37303000</v>
      </c>
      <c r="R55" s="151"/>
      <c r="S55" s="151">
        <f t="shared" si="48"/>
        <v>39570000</v>
      </c>
      <c r="T55" s="151"/>
      <c r="U55" s="151"/>
      <c r="V55" s="169">
        <v>906</v>
      </c>
      <c r="W55" s="108">
        <v>37706000</v>
      </c>
      <c r="X55" s="158"/>
      <c r="Y55" s="108">
        <v>37303000</v>
      </c>
      <c r="Z55" s="109"/>
      <c r="AA55" s="108">
        <v>39570000</v>
      </c>
      <c r="AB55" s="109"/>
    </row>
    <row r="56" spans="1:28" ht="24.6" hidden="1" x14ac:dyDescent="0.3">
      <c r="A56" s="43" t="s">
        <v>73</v>
      </c>
      <c r="B56" s="44" t="s">
        <v>72</v>
      </c>
      <c r="C56" s="49"/>
      <c r="D56" s="49"/>
      <c r="E56" s="50"/>
      <c r="F56" s="51">
        <f t="shared" si="20"/>
        <v>0</v>
      </c>
      <c r="G56" s="51">
        <f t="shared" si="21"/>
        <v>0</v>
      </c>
      <c r="H56" s="61"/>
      <c r="I56" s="61"/>
      <c r="J56" s="61"/>
      <c r="K56" s="61">
        <v>1000</v>
      </c>
      <c r="L56" s="154">
        <f t="shared" si="45"/>
        <v>0</v>
      </c>
      <c r="M56" s="67">
        <f t="shared" si="46"/>
        <v>-1000</v>
      </c>
      <c r="N56" s="67">
        <v>0</v>
      </c>
      <c r="O56" s="67"/>
      <c r="P56" s="67"/>
      <c r="Q56" s="67">
        <f t="shared" si="47"/>
        <v>0</v>
      </c>
      <c r="R56" s="67"/>
      <c r="S56" s="151">
        <f t="shared" si="48"/>
        <v>0</v>
      </c>
      <c r="T56" s="174"/>
      <c r="U56" s="174"/>
      <c r="V56" s="6" t="s">
        <v>64</v>
      </c>
      <c r="W56" s="108"/>
      <c r="X56" s="109"/>
      <c r="Y56" s="108"/>
      <c r="Z56" s="109"/>
      <c r="AA56" s="108"/>
      <c r="AB56" s="109"/>
    </row>
    <row r="57" spans="1:28" hidden="1" x14ac:dyDescent="0.3">
      <c r="A57" s="132" t="s">
        <v>49</v>
      </c>
      <c r="B57" s="10" t="s">
        <v>18</v>
      </c>
      <c r="C57" s="21">
        <f>180+360</f>
        <v>540</v>
      </c>
      <c r="D57" s="21">
        <v>360</v>
      </c>
      <c r="E57" s="29">
        <f>180000+360000</f>
        <v>540000</v>
      </c>
      <c r="F57" s="6">
        <f t="shared" si="20"/>
        <v>540</v>
      </c>
      <c r="G57" s="6">
        <f t="shared" si="21"/>
        <v>0</v>
      </c>
      <c r="H57" s="60"/>
      <c r="I57" s="60"/>
      <c r="J57" s="60"/>
      <c r="K57" s="60"/>
      <c r="L57" s="65"/>
      <c r="M57" s="65"/>
      <c r="N57" s="65"/>
      <c r="O57" s="155"/>
      <c r="P57" s="155"/>
      <c r="Q57" s="155"/>
      <c r="R57" s="155"/>
      <c r="S57" s="151">
        <f t="shared" si="48"/>
        <v>0</v>
      </c>
      <c r="T57" s="174"/>
      <c r="U57" s="174"/>
      <c r="V57" s="6"/>
      <c r="W57" s="6"/>
      <c r="X57" s="156"/>
      <c r="Y57" s="6"/>
      <c r="Z57" s="156"/>
      <c r="AA57" s="6"/>
      <c r="AB57" s="156"/>
    </row>
    <row r="58" spans="1:28" ht="16.95" customHeight="1" x14ac:dyDescent="0.3">
      <c r="A58" s="45" t="s">
        <v>55</v>
      </c>
      <c r="B58" s="55" t="s">
        <v>56</v>
      </c>
      <c r="C58" s="33">
        <f>3208.7+534.9</f>
        <v>3743.6</v>
      </c>
      <c r="D58" s="34"/>
      <c r="E58" s="35">
        <f>3208759+534875</f>
        <v>3743634</v>
      </c>
      <c r="F58" s="6">
        <f>E58/1000</f>
        <v>3743.634</v>
      </c>
      <c r="G58" s="6">
        <f>F58-C58</f>
        <v>3.4000000000105501E-2</v>
      </c>
      <c r="H58" s="60"/>
      <c r="I58" s="60"/>
      <c r="J58" s="60"/>
      <c r="K58" s="60"/>
      <c r="L58" s="65">
        <v>124000</v>
      </c>
      <c r="M58" s="65"/>
      <c r="N58" s="65"/>
      <c r="O58" s="155"/>
      <c r="P58" s="155"/>
      <c r="Q58" s="155"/>
      <c r="R58" s="155"/>
      <c r="S58" s="151">
        <f t="shared" si="48"/>
        <v>0</v>
      </c>
      <c r="T58" s="174"/>
      <c r="U58" s="174"/>
      <c r="V58" s="6">
        <v>905</v>
      </c>
      <c r="W58" s="6"/>
      <c r="X58" s="156"/>
      <c r="Y58" s="6"/>
      <c r="Z58" s="156"/>
      <c r="AA58" s="6"/>
      <c r="AB58" s="156"/>
    </row>
    <row r="59" spans="1:28" x14ac:dyDescent="0.3">
      <c r="C59" s="22">
        <f>C6</f>
        <v>864721.7</v>
      </c>
      <c r="D59" s="22">
        <f>D6</f>
        <v>360</v>
      </c>
      <c r="E59" s="22">
        <f>E6</f>
        <v>864721718.66999996</v>
      </c>
      <c r="F59" s="22">
        <f>F6</f>
        <v>832206.21461999987</v>
      </c>
      <c r="G59" s="22">
        <f>G6</f>
        <v>0.11462000000285499</v>
      </c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6"/>
      <c r="W59" s="6"/>
      <c r="X59" s="156"/>
      <c r="Y59" s="6"/>
      <c r="Z59" s="156"/>
      <c r="AA59" s="6"/>
      <c r="AB59" s="156"/>
    </row>
    <row r="60" spans="1:28" x14ac:dyDescent="0.3">
      <c r="C60" s="6">
        <f>C6-C59</f>
        <v>0</v>
      </c>
      <c r="D60" s="6">
        <f>D6-D59</f>
        <v>0</v>
      </c>
      <c r="E60" s="6">
        <f>E6-E59</f>
        <v>0</v>
      </c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6"/>
      <c r="W60" s="6"/>
      <c r="X60" s="156"/>
      <c r="Y60" s="6"/>
      <c r="Z60" s="156"/>
      <c r="AA60" s="6"/>
      <c r="AB60" s="156"/>
    </row>
    <row r="61" spans="1:28" x14ac:dyDescent="0.3">
      <c r="A61" s="3" t="s">
        <v>137</v>
      </c>
      <c r="C61" s="6"/>
      <c r="D61" s="6"/>
      <c r="E61" s="6"/>
      <c r="H61" s="46">
        <v>0</v>
      </c>
      <c r="I61" s="46">
        <v>1</v>
      </c>
      <c r="J61" s="46"/>
      <c r="K61" s="46"/>
      <c r="L61" s="46">
        <f>L7</f>
        <v>26214000</v>
      </c>
      <c r="M61" s="46">
        <f t="shared" ref="M61:AB61" si="50">M7</f>
        <v>26214000</v>
      </c>
      <c r="N61" s="46">
        <f t="shared" si="50"/>
        <v>0</v>
      </c>
      <c r="O61" s="46">
        <f t="shared" si="50"/>
        <v>0</v>
      </c>
      <c r="P61" s="46">
        <f t="shared" si="50"/>
        <v>0</v>
      </c>
      <c r="Q61" s="46">
        <f t="shared" si="50"/>
        <v>0</v>
      </c>
      <c r="R61" s="46">
        <f t="shared" si="50"/>
        <v>0</v>
      </c>
      <c r="S61" s="46">
        <f t="shared" si="50"/>
        <v>0</v>
      </c>
      <c r="T61" s="46">
        <f t="shared" si="50"/>
        <v>0</v>
      </c>
      <c r="U61" s="46">
        <f t="shared" si="50"/>
        <v>0</v>
      </c>
      <c r="V61" s="46">
        <f t="shared" si="50"/>
        <v>906</v>
      </c>
      <c r="W61" s="46">
        <f t="shared" si="50"/>
        <v>0</v>
      </c>
      <c r="X61" s="46">
        <f t="shared" si="50"/>
        <v>26214000</v>
      </c>
      <c r="Y61" s="46">
        <f t="shared" si="50"/>
        <v>0</v>
      </c>
      <c r="Z61" s="46">
        <f t="shared" si="50"/>
        <v>0</v>
      </c>
      <c r="AA61" s="46">
        <f t="shared" si="50"/>
        <v>0</v>
      </c>
      <c r="AB61" s="46">
        <f t="shared" si="50"/>
        <v>0</v>
      </c>
    </row>
    <row r="62" spans="1:28" x14ac:dyDescent="0.3">
      <c r="A62" s="3" t="s">
        <v>61</v>
      </c>
      <c r="C62" s="6"/>
      <c r="D62" s="6"/>
      <c r="E62" s="6"/>
      <c r="H62" s="46">
        <f>H21+H19+H29+H30+H31+H41+H42+H45+H46+H53+H7</f>
        <v>3325</v>
      </c>
      <c r="I62" s="46">
        <f>I21+I19+I29+I30+I31+I41+I42+I45+I46+I53+I7</f>
        <v>13244</v>
      </c>
      <c r="J62" s="46">
        <f>J21+J19+J29+J30+J31+J41+J42+J45+J46+J53+J7</f>
        <v>2221</v>
      </c>
      <c r="K62" s="46">
        <f>K21+K19+K29+K30+K31+K41+K42+K45+K46+K53+K7</f>
        <v>12180</v>
      </c>
      <c r="L62" s="103">
        <f>L21+L19+L29+L30+L31+L41+L42+L45+L46+L53+L44</f>
        <v>4458743.5999999996</v>
      </c>
      <c r="M62" s="103">
        <f t="shared" ref="M62:AB62" si="51">M21+M19+M29+M30+M31+M41+M42+M45+M46+M53+M44</f>
        <v>4446563.5999999996</v>
      </c>
      <c r="N62" s="103">
        <f t="shared" si="51"/>
        <v>2180</v>
      </c>
      <c r="O62" s="103">
        <f t="shared" si="51"/>
        <v>0</v>
      </c>
      <c r="P62" s="103">
        <f t="shared" si="51"/>
        <v>0</v>
      </c>
      <c r="Q62" s="103">
        <f t="shared" si="51"/>
        <v>4501921.05</v>
      </c>
      <c r="R62" s="103">
        <f t="shared" si="51"/>
        <v>2750000</v>
      </c>
      <c r="S62" s="103">
        <f t="shared" si="51"/>
        <v>4702166.04</v>
      </c>
      <c r="T62" s="103">
        <f t="shared" si="51"/>
        <v>2750000</v>
      </c>
      <c r="U62" s="103">
        <f t="shared" si="51"/>
        <v>2750000</v>
      </c>
      <c r="V62" s="103" t="e">
        <f t="shared" si="51"/>
        <v>#VALUE!</v>
      </c>
      <c r="W62" s="103">
        <f t="shared" si="51"/>
        <v>1060634.92</v>
      </c>
      <c r="X62" s="103">
        <f t="shared" si="51"/>
        <v>3398108.6799999997</v>
      </c>
      <c r="Y62" s="103">
        <f t="shared" si="51"/>
        <v>1094794.05</v>
      </c>
      <c r="Z62" s="103">
        <f t="shared" si="51"/>
        <v>3407127</v>
      </c>
      <c r="AA62" s="103">
        <f t="shared" si="51"/>
        <v>1250281.25</v>
      </c>
      <c r="AB62" s="103">
        <f t="shared" si="51"/>
        <v>3451884.79</v>
      </c>
    </row>
    <row r="63" spans="1:28" x14ac:dyDescent="0.3">
      <c r="A63" s="3" t="s">
        <v>63</v>
      </c>
      <c r="H63" s="46">
        <f t="shared" ref="H63:K63" si="52">H51</f>
        <v>3104</v>
      </c>
      <c r="I63" s="46">
        <f t="shared" si="52"/>
        <v>5684</v>
      </c>
      <c r="J63" s="46">
        <f t="shared" si="52"/>
        <v>3954</v>
      </c>
      <c r="K63" s="46">
        <f t="shared" si="52"/>
        <v>5031</v>
      </c>
      <c r="L63" s="103">
        <f t="shared" ref="L63" si="53">L51</f>
        <v>13169800</v>
      </c>
      <c r="M63" s="103">
        <f t="shared" ref="M63:AB63" si="54">M51</f>
        <v>13164769</v>
      </c>
      <c r="N63" s="103">
        <f t="shared" si="54"/>
        <v>4385</v>
      </c>
      <c r="O63" s="103">
        <f t="shared" si="54"/>
        <v>0</v>
      </c>
      <c r="P63" s="103">
        <f t="shared" si="54"/>
        <v>0</v>
      </c>
      <c r="Q63" s="103">
        <f t="shared" si="54"/>
        <v>19253400</v>
      </c>
      <c r="R63" s="103">
        <f t="shared" si="54"/>
        <v>12204000</v>
      </c>
      <c r="S63" s="103">
        <f t="shared" si="54"/>
        <v>20252000</v>
      </c>
      <c r="T63" s="103">
        <f t="shared" si="54"/>
        <v>46725000</v>
      </c>
      <c r="U63" s="103">
        <f t="shared" si="54"/>
        <v>47429000</v>
      </c>
      <c r="V63" s="103">
        <f t="shared" si="54"/>
        <v>904</v>
      </c>
      <c r="W63" s="103">
        <f t="shared" si="54"/>
        <v>3473800</v>
      </c>
      <c r="X63" s="103">
        <f t="shared" si="54"/>
        <v>9696000</v>
      </c>
      <c r="Y63" s="103">
        <f t="shared" si="54"/>
        <v>5078400</v>
      </c>
      <c r="Z63" s="103">
        <f t="shared" si="54"/>
        <v>14175000</v>
      </c>
      <c r="AA63" s="103">
        <f t="shared" si="54"/>
        <v>5342000</v>
      </c>
      <c r="AB63" s="103">
        <f t="shared" si="54"/>
        <v>14910000</v>
      </c>
    </row>
    <row r="64" spans="1:28" x14ac:dyDescent="0.3">
      <c r="A64" s="3" t="s">
        <v>60</v>
      </c>
      <c r="H64" s="46">
        <f>H15+H25+H26+H28+H38+H39+H40+H49+H50</f>
        <v>601453</v>
      </c>
      <c r="I64" s="46">
        <f>I15+I25+I26+I28+I38+I39+I40+I49+I50</f>
        <v>770705.8</v>
      </c>
      <c r="J64" s="46">
        <f>J15+J25+J26+J28+J38+J39+J40+J49+J50</f>
        <v>688970</v>
      </c>
      <c r="K64" s="46">
        <f>K15+K25+K26+K28+K38+K39+K40+K49+K50</f>
        <v>535811</v>
      </c>
      <c r="L64" s="103">
        <f>L15+L25+L26+L28+L38+L39+L40+L49+L50+L17+L55+L18</f>
        <v>873026254</v>
      </c>
      <c r="M64" s="103">
        <f t="shared" ref="M64:AB64" si="55">M15+M25+M26+M28+M38+M39+M40+M49+M50+M17+M55+M18</f>
        <v>834784443</v>
      </c>
      <c r="N64" s="103">
        <f t="shared" si="55"/>
        <v>408610</v>
      </c>
      <c r="O64" s="103">
        <f t="shared" si="55"/>
        <v>0</v>
      </c>
      <c r="P64" s="103">
        <f t="shared" si="55"/>
        <v>0</v>
      </c>
      <c r="Q64" s="103">
        <f t="shared" si="55"/>
        <v>906943857</v>
      </c>
      <c r="R64" s="103">
        <f t="shared" si="55"/>
        <v>939478000</v>
      </c>
      <c r="S64" s="103">
        <f t="shared" si="55"/>
        <v>909358062.99000001</v>
      </c>
      <c r="T64" s="103">
        <f t="shared" si="55"/>
        <v>898605000</v>
      </c>
      <c r="U64" s="103">
        <f t="shared" si="55"/>
        <v>978066000</v>
      </c>
      <c r="V64" s="103">
        <f t="shared" si="55"/>
        <v>10872</v>
      </c>
      <c r="W64" s="103">
        <f t="shared" si="55"/>
        <v>72418491</v>
      </c>
      <c r="X64" s="103">
        <f t="shared" si="55"/>
        <v>800607763</v>
      </c>
      <c r="Y64" s="103">
        <f t="shared" si="55"/>
        <v>69993733</v>
      </c>
      <c r="Z64" s="103">
        <f t="shared" si="55"/>
        <v>836950124</v>
      </c>
      <c r="AA64" s="103">
        <f t="shared" si="55"/>
        <v>96366708.879999995</v>
      </c>
      <c r="AB64" s="103">
        <f t="shared" si="55"/>
        <v>812991354.11000001</v>
      </c>
    </row>
    <row r="65" spans="1:28" x14ac:dyDescent="0.3">
      <c r="A65" s="3" t="s">
        <v>64</v>
      </c>
      <c r="H65" s="46">
        <f>H20+H52+H56</f>
        <v>110</v>
      </c>
      <c r="I65" s="46">
        <f>I20+I52+I56</f>
        <v>4134.2</v>
      </c>
      <c r="J65" s="46">
        <f>J20+J52+J56</f>
        <v>110</v>
      </c>
      <c r="K65" s="46">
        <f>K20+K52+K56</f>
        <v>1111</v>
      </c>
      <c r="L65" s="103">
        <f t="shared" ref="L65" si="56">L20+L52+L32</f>
        <v>8800644.6400000006</v>
      </c>
      <c r="M65" s="103">
        <f t="shared" ref="M65:AB65" si="57">M20+M52+M32</f>
        <v>8800533.6400000006</v>
      </c>
      <c r="N65" s="103">
        <f t="shared" si="57"/>
        <v>111</v>
      </c>
      <c r="O65" s="103">
        <f t="shared" si="57"/>
        <v>0</v>
      </c>
      <c r="P65" s="103">
        <f t="shared" si="57"/>
        <v>0</v>
      </c>
      <c r="Q65" s="103">
        <f t="shared" si="57"/>
        <v>181995</v>
      </c>
      <c r="R65" s="103">
        <f t="shared" si="57"/>
        <v>92000</v>
      </c>
      <c r="S65" s="103">
        <f t="shared" si="57"/>
        <v>181995</v>
      </c>
      <c r="T65" s="103">
        <f t="shared" si="57"/>
        <v>92000</v>
      </c>
      <c r="U65" s="103">
        <f t="shared" si="57"/>
        <v>92000</v>
      </c>
      <c r="V65" s="103">
        <f t="shared" si="57"/>
        <v>2721</v>
      </c>
      <c r="W65" s="103">
        <f t="shared" si="57"/>
        <v>7814896</v>
      </c>
      <c r="X65" s="103">
        <f t="shared" si="57"/>
        <v>985748.64</v>
      </c>
      <c r="Y65" s="103">
        <f t="shared" si="57"/>
        <v>72896</v>
      </c>
      <c r="Z65" s="103">
        <f t="shared" si="57"/>
        <v>109099</v>
      </c>
      <c r="AA65" s="103">
        <f t="shared" si="57"/>
        <v>72896</v>
      </c>
      <c r="AB65" s="103">
        <f t="shared" si="57"/>
        <v>109099</v>
      </c>
    </row>
    <row r="66" spans="1:28" x14ac:dyDescent="0.3">
      <c r="A66" s="3" t="s">
        <v>62</v>
      </c>
      <c r="H66" s="46">
        <f>H11+H22+H16+H47+H48</f>
        <v>1286</v>
      </c>
      <c r="I66" s="46">
        <f>I11+I22+I16+I47+I48</f>
        <v>42332</v>
      </c>
      <c r="J66" s="46">
        <f>J11+J22+J16+J47+J48</f>
        <v>1286</v>
      </c>
      <c r="K66" s="46">
        <f>K11+K22+K16+K47+K48</f>
        <v>2581</v>
      </c>
      <c r="L66" s="103">
        <f>L11+L22+L16+L47+L48+L56+L12+L27+L58+L43</f>
        <v>40139631.43</v>
      </c>
      <c r="M66" s="103">
        <f t="shared" ref="M66:AB66" si="58">M11+M22+M16+M47+M48+M56+M12+M27+M58+M43</f>
        <v>40012050.43</v>
      </c>
      <c r="N66" s="103">
        <f t="shared" si="58"/>
        <v>2649</v>
      </c>
      <c r="O66" s="103">
        <f t="shared" si="58"/>
        <v>0</v>
      </c>
      <c r="P66" s="103">
        <f t="shared" si="58"/>
        <v>0</v>
      </c>
      <c r="Q66" s="103">
        <f t="shared" si="58"/>
        <v>51965387.739999995</v>
      </c>
      <c r="R66" s="103">
        <f t="shared" si="58"/>
        <v>9571000</v>
      </c>
      <c r="S66" s="103">
        <f t="shared" si="58"/>
        <v>56284634.090000004</v>
      </c>
      <c r="T66" s="103">
        <f t="shared" si="58"/>
        <v>9922000</v>
      </c>
      <c r="U66" s="103">
        <f t="shared" si="58"/>
        <v>10305000</v>
      </c>
      <c r="V66" s="103" t="e">
        <f t="shared" si="58"/>
        <v>#VALUE!</v>
      </c>
      <c r="W66" s="103">
        <f t="shared" si="58"/>
        <v>12642043.119999999</v>
      </c>
      <c r="X66" s="103">
        <f t="shared" si="58"/>
        <v>27373588.309999999</v>
      </c>
      <c r="Y66" s="103">
        <f t="shared" si="58"/>
        <v>17165275.869999997</v>
      </c>
      <c r="Z66" s="103">
        <f t="shared" si="58"/>
        <v>34800111.870000005</v>
      </c>
      <c r="AA66" s="103">
        <f t="shared" si="58"/>
        <v>18635298.75</v>
      </c>
      <c r="AB66" s="103">
        <f t="shared" si="58"/>
        <v>37649335.340000004</v>
      </c>
    </row>
    <row r="67" spans="1:28" x14ac:dyDescent="0.3"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6"/>
      <c r="W67" s="46"/>
      <c r="X67" s="103"/>
      <c r="Y67" s="46"/>
      <c r="Z67" s="103"/>
      <c r="AA67" s="46"/>
      <c r="AB67" s="103"/>
    </row>
    <row r="68" spans="1:28" x14ac:dyDescent="0.3">
      <c r="H68" s="53">
        <f t="shared" ref="H68:W68" si="59">SUM(H61:H67)</f>
        <v>609278</v>
      </c>
      <c r="I68" s="53">
        <f t="shared" si="59"/>
        <v>836101</v>
      </c>
      <c r="J68" s="53">
        <f t="shared" si="59"/>
        <v>696541</v>
      </c>
      <c r="K68" s="53">
        <f t="shared" si="59"/>
        <v>556714</v>
      </c>
      <c r="L68" s="104">
        <f>SUM(L61:L67)</f>
        <v>965809073.66999996</v>
      </c>
      <c r="M68" s="104">
        <f t="shared" si="59"/>
        <v>927422359.66999996</v>
      </c>
      <c r="N68" s="104">
        <f t="shared" si="59"/>
        <v>417935</v>
      </c>
      <c r="O68" s="104"/>
      <c r="P68" s="104"/>
      <c r="Q68" s="104">
        <f t="shared" si="59"/>
        <v>982846560.78999996</v>
      </c>
      <c r="R68" s="104">
        <f t="shared" si="59"/>
        <v>964095000</v>
      </c>
      <c r="S68" s="104">
        <f t="shared" si="59"/>
        <v>990778858.12</v>
      </c>
      <c r="T68" s="104">
        <f t="shared" si="59"/>
        <v>958094000</v>
      </c>
      <c r="U68" s="104">
        <f t="shared" si="59"/>
        <v>1038642000</v>
      </c>
      <c r="V68" s="104" t="e">
        <f t="shared" si="59"/>
        <v>#VALUE!</v>
      </c>
      <c r="W68" s="104">
        <f t="shared" si="59"/>
        <v>97409865.040000007</v>
      </c>
      <c r="X68" s="104">
        <f>SUM(X61:X67)</f>
        <v>868275208.62999988</v>
      </c>
      <c r="Y68" s="104">
        <f t="shared" ref="Y68:AB68" si="60">SUM(Y61:Y67)</f>
        <v>93405098.919999987</v>
      </c>
      <c r="Z68" s="104">
        <f t="shared" si="60"/>
        <v>889441461.87</v>
      </c>
      <c r="AA68" s="104">
        <f t="shared" si="60"/>
        <v>121667184.88</v>
      </c>
      <c r="AB68" s="104">
        <f t="shared" si="60"/>
        <v>869111673.24000001</v>
      </c>
    </row>
    <row r="69" spans="1:28" x14ac:dyDescent="0.3"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6"/>
      <c r="W69" s="46">
        <f>W68-W5</f>
        <v>0</v>
      </c>
      <c r="X69" s="46">
        <f t="shared" ref="X69:AB69" si="61">X68-X5</f>
        <v>0</v>
      </c>
      <c r="Y69" s="46">
        <f t="shared" si="61"/>
        <v>0</v>
      </c>
      <c r="Z69" s="46">
        <f t="shared" si="61"/>
        <v>0</v>
      </c>
      <c r="AA69" s="46">
        <f t="shared" si="61"/>
        <v>0</v>
      </c>
      <c r="AB69" s="46">
        <f t="shared" si="61"/>
        <v>0</v>
      </c>
    </row>
    <row r="70" spans="1:28" x14ac:dyDescent="0.3"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6"/>
      <c r="W70" s="46"/>
      <c r="X70" s="103"/>
      <c r="Y70" s="46"/>
      <c r="Z70" s="103"/>
      <c r="AA70" s="46"/>
      <c r="AB70" s="103"/>
    </row>
    <row r="71" spans="1:28" x14ac:dyDescent="0.3">
      <c r="A71" s="3">
        <v>0</v>
      </c>
      <c r="H71" s="46">
        <f>H68-H5</f>
        <v>0</v>
      </c>
      <c r="I71" s="46">
        <f>I68-I5</f>
        <v>1</v>
      </c>
      <c r="J71" s="46">
        <f>J68-J5</f>
        <v>0</v>
      </c>
      <c r="K71" s="46">
        <f>K68-K5</f>
        <v>11000</v>
      </c>
      <c r="L71" s="46">
        <f>L68-L5</f>
        <v>0</v>
      </c>
      <c r="M71" s="46">
        <f t="shared" ref="M71:Q71" si="62">M68-M5</f>
        <v>0</v>
      </c>
      <c r="N71" s="46">
        <f t="shared" si="62"/>
        <v>0</v>
      </c>
      <c r="O71" s="46"/>
      <c r="P71" s="46"/>
      <c r="Q71" s="46">
        <f t="shared" si="62"/>
        <v>0</v>
      </c>
      <c r="R71" s="46"/>
      <c r="S71" s="46">
        <f>S68-S5</f>
        <v>0</v>
      </c>
      <c r="T71" s="46"/>
      <c r="U71" s="46"/>
      <c r="V71" s="6"/>
      <c r="W71" s="46">
        <f t="shared" ref="W71:AB71" si="63">W68-W5</f>
        <v>0</v>
      </c>
      <c r="X71" s="103">
        <f t="shared" si="63"/>
        <v>0</v>
      </c>
      <c r="Y71" s="46">
        <f t="shared" si="63"/>
        <v>0</v>
      </c>
      <c r="Z71" s="103">
        <f t="shared" si="63"/>
        <v>0</v>
      </c>
      <c r="AA71" s="46">
        <f t="shared" si="63"/>
        <v>0</v>
      </c>
      <c r="AB71" s="103">
        <f t="shared" si="63"/>
        <v>0</v>
      </c>
    </row>
    <row r="72" spans="1:28" x14ac:dyDescent="0.3"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156"/>
      <c r="Y72" s="6"/>
      <c r="Z72" s="156"/>
      <c r="AA72" s="6"/>
      <c r="AB72" s="156"/>
    </row>
    <row r="73" spans="1:28" x14ac:dyDescent="0.3"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156"/>
      <c r="Y73" s="6"/>
      <c r="Z73" s="156"/>
      <c r="AA73" s="6"/>
      <c r="AB73" s="156"/>
    </row>
    <row r="74" spans="1:28" x14ac:dyDescent="0.3"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156"/>
      <c r="Y74" s="6"/>
      <c r="Z74" s="156"/>
      <c r="AA74" s="6"/>
      <c r="AB74" s="156"/>
    </row>
    <row r="75" spans="1:28" x14ac:dyDescent="0.3"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156"/>
      <c r="Y75" s="6"/>
      <c r="Z75" s="156"/>
      <c r="AA75" s="6"/>
      <c r="AB75" s="156"/>
    </row>
    <row r="76" spans="1:28" x14ac:dyDescent="0.3"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156"/>
      <c r="Y76" s="6"/>
      <c r="Z76" s="156"/>
      <c r="AA76" s="6"/>
      <c r="AB76" s="156"/>
    </row>
    <row r="77" spans="1:28" x14ac:dyDescent="0.3"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156"/>
      <c r="Y77" s="6"/>
      <c r="Z77" s="156"/>
      <c r="AA77" s="6"/>
      <c r="AB77" s="156"/>
    </row>
    <row r="78" spans="1:28" x14ac:dyDescent="0.3"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156"/>
      <c r="Y78" s="6"/>
      <c r="Z78" s="156"/>
      <c r="AA78" s="6"/>
      <c r="AB78" s="156"/>
    </row>
    <row r="79" spans="1:28" x14ac:dyDescent="0.3"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156"/>
      <c r="Y79" s="6"/>
      <c r="Z79" s="156"/>
      <c r="AA79" s="6"/>
      <c r="AB79" s="156"/>
    </row>
  </sheetData>
  <mergeCells count="3">
    <mergeCell ref="A1:S1"/>
    <mergeCell ref="A2:S2"/>
    <mergeCell ref="A3:S3"/>
  </mergeCells>
  <pageMargins left="0" right="0" top="0" bottom="0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20 год</vt:lpstr>
      <vt:lpstr>23-25года с фед. для  И.В.</vt:lpstr>
      <vt:lpstr>24-26года </vt:lpstr>
      <vt:lpstr>23-25года с федеральными</vt:lpstr>
      <vt:lpstr>22-25года 1 чтение)</vt:lpstr>
      <vt:lpstr>22-24года +</vt:lpstr>
      <vt:lpstr>'20 год'!Заголовки_для_печати</vt:lpstr>
      <vt:lpstr>'22-24года +'!Заголовки_для_печати</vt:lpstr>
      <vt:lpstr>'22-25года 1 чтение)'!Заголовки_для_печати</vt:lpstr>
      <vt:lpstr>'23-25года с фед. для  И.В.'!Заголовки_для_печати</vt:lpstr>
      <vt:lpstr>'23-25года с федеральными'!Заголовки_для_печати</vt:lpstr>
      <vt:lpstr>'24-26года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2023-12-11T09:19:19Z</dcterms:modified>
</cp:coreProperties>
</file>